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6152" windowHeight="11940" activeTab="0"/>
  </bookViews>
  <sheets>
    <sheet name="START" sheetId="1" r:id="rId1"/>
    <sheet name="tmc429_rhz" sheetId="2" r:id="rId2"/>
    <sheet name="tmc429_rhz2va" sheetId="3" r:id="rId3"/>
    <sheet name="PMUL_PDIV_calculation" sheetId="4" r:id="rId4"/>
    <sheet name="History" sheetId="5" r:id="rId5"/>
  </sheets>
  <definedNames/>
  <calcPr fullCalcOnLoad="1"/>
</workbook>
</file>

<file path=xl/sharedStrings.xml><?xml version="1.0" encoding="utf-8"?>
<sst xmlns="http://schemas.openxmlformats.org/spreadsheetml/2006/main" count="238" uniqueCount="167">
  <si>
    <t>velocity =</t>
  </si>
  <si>
    <t>Stepper Motor Parameters</t>
  </si>
  <si>
    <t>R [Hz] =</t>
  </si>
  <si>
    <r>
      <t>R</t>
    </r>
    <r>
      <rPr>
        <vertAlign val="subscript"/>
        <sz val="10"/>
        <rFont val="Arial"/>
        <family val="2"/>
      </rPr>
      <t>FullStep</t>
    </r>
    <r>
      <rPr>
        <sz val="10"/>
        <rFont val="Arial"/>
        <family val="0"/>
      </rPr>
      <t xml:space="preserve"> [Hz] =</t>
    </r>
  </si>
  <si>
    <t>RPM =</t>
  </si>
  <si>
    <t>Results:</t>
  </si>
  <si>
    <t>rad / s =</t>
  </si>
  <si>
    <t>R[Hz] = f_clk[Hz] * velocity / ( 2^pulse_div * 2048 * 32 )</t>
  </si>
  <si>
    <t>RPS =</t>
  </si>
  <si>
    <t>0 ... 2047</t>
  </si>
  <si>
    <t>Valid Range</t>
  </si>
  <si>
    <t>a_max =</t>
  </si>
  <si>
    <t>Delta R [Hz/s] =</t>
  </si>
  <si>
    <t>0 ... 13</t>
  </si>
  <si>
    <r>
      <t>R</t>
    </r>
    <r>
      <rPr>
        <vertAlign val="subscript"/>
        <sz val="10"/>
        <rFont val="Arial"/>
        <family val="2"/>
      </rPr>
      <t>FullStep</t>
    </r>
    <r>
      <rPr>
        <sz val="10"/>
        <rFont val="Arial"/>
        <family val="0"/>
      </rPr>
      <t xml:space="preserve"> [Hz] = R[Hz] / 2^usrs</t>
    </r>
  </si>
  <si>
    <r>
      <t>Delta R</t>
    </r>
    <r>
      <rPr>
        <vertAlign val="subscript"/>
        <sz val="10"/>
        <rFont val="Arial"/>
        <family val="2"/>
      </rPr>
      <t>FullStep</t>
    </r>
    <r>
      <rPr>
        <sz val="10"/>
        <rFont val="Arial"/>
        <family val="0"/>
      </rPr>
      <t xml:space="preserve"> [Hz/s] =</t>
    </r>
  </si>
  <si>
    <t>Micro Steps per Full Step =</t>
  </si>
  <si>
    <t>Micro Steps per Rotation =</t>
  </si>
  <si>
    <t>Full Step Angle =</t>
  </si>
  <si>
    <t>Micro Step Angle =</t>
  </si>
  <si>
    <t>°</t>
  </si>
  <si>
    <t>Comments</t>
  </si>
  <si>
    <t>dR[Hz/s] = f_clk[Hz] * f_clk[Hz] * a_max / 256 / ( 2^(pulse_div+ramp_div) * 2048 * 32^2 )</t>
  </si>
  <si>
    <t>time t[s] to reach velocity =</t>
  </si>
  <si>
    <t>triangular ramps per second =</t>
  </si>
  <si>
    <t>frequency aequivalent of triangular ramps</t>
  </si>
  <si>
    <t>Delta RPS =</t>
  </si>
  <si>
    <t>Delta RPM =</t>
  </si>
  <si>
    <t>rad / s^2 =</t>
  </si>
  <si>
    <t xml:space="preserve"> </t>
  </si>
  <si>
    <t>THIS CODE AND INFORMATION IS PROVIDED "AS IS" WITHOUT WARRANTY OF ANY  KIND, EITHER EXPRESSED OR IMPLIED.</t>
  </si>
  <si>
    <t>a_max_lower_limit = 2^( ramp_div - pulse_div –1 )</t>
  </si>
  <si>
    <t>a_max_lower_limit =</t>
  </si>
  <si>
    <t>revolutions per second</t>
  </si>
  <si>
    <t>revolutions per minute</t>
  </si>
  <si>
    <t>acceleration micro steps =</t>
  </si>
  <si>
    <t>acceleration full steps =</t>
  </si>
  <si>
    <t>number of full steps until target velocity is reached</t>
  </si>
  <si>
    <t>number of micro steps until target velocity is reached</t>
  </si>
  <si>
    <t>acceleraction (change of veleocity per second) in unit [RPS/s]</t>
  </si>
  <si>
    <t>acceleraction (change of veleocity per second) in unit [RPM/s]</t>
  </si>
  <si>
    <t>Target Motion Parameters</t>
  </si>
  <si>
    <t>velocity, in unit: full steps per second</t>
  </si>
  <si>
    <t>acceleration, in unit: full steps per second per second</t>
  </si>
  <si>
    <t>v = R[Hz] * 2^pulse_div * 2048 * 32 / f_clk[Hz]</t>
  </si>
  <si>
    <t>a = dR[Hz/s] * 2^(pulse_Div+ramp_div+29) / f_clk[Hz] / f_clk[Hz]</t>
  </si>
  <si>
    <t>p_mul =</t>
  </si>
  <si>
    <t>p_div =</t>
  </si>
  <si>
    <t>The upper limit of A_MAX might be &lt; 2047 if RAMP_DIV &lt; PULSE_DIV</t>
  </si>
  <si>
    <t>a_max_upper_limit =</t>
  </si>
  <si>
    <t>a_max_upper_limit = 2^( ramp_div - pulse_div + 12) - 1</t>
  </si>
  <si>
    <t>angular velocity</t>
  </si>
  <si>
    <t>angular acceleration</t>
  </si>
  <si>
    <t>f_clk [Hz] :=</t>
  </si>
  <si>
    <t>pulse_div :=</t>
  </si>
  <si>
    <t>velocity :=</t>
  </si>
  <si>
    <t>ramp_div :=</t>
  </si>
  <si>
    <t>a_max :=</t>
  </si>
  <si>
    <t>Full Steps per Rotation :=</t>
  </si>
  <si>
    <r>
      <t>R</t>
    </r>
    <r>
      <rPr>
        <vertAlign val="subscript"/>
        <sz val="10"/>
        <rFont val="Arial"/>
        <family val="2"/>
      </rPr>
      <t>FullStep</t>
    </r>
    <r>
      <rPr>
        <sz val="10"/>
        <rFont val="Arial"/>
        <family val="0"/>
      </rPr>
      <t xml:space="preserve"> [Hz] :=</t>
    </r>
  </si>
  <si>
    <r>
      <t>Delta R</t>
    </r>
    <r>
      <rPr>
        <vertAlign val="subscript"/>
        <sz val="10"/>
        <rFont val="Arial"/>
        <family val="2"/>
      </rPr>
      <t>FullStep</t>
    </r>
    <r>
      <rPr>
        <sz val="10"/>
        <rFont val="Arial"/>
        <family val="0"/>
      </rPr>
      <t xml:space="preserve"> [Hz/s] :=</t>
    </r>
  </si>
  <si>
    <t>0 ... 32000000</t>
  </si>
  <si>
    <t>TMC429 : Motion Parameters =&gt; Step Velocity &amp; Acceleration</t>
  </si>
  <si>
    <t xml:space="preserve">TMC429 Parameters </t>
  </si>
  <si>
    <t>for StepDir drivers, here you can input the microstep resolution of the driver. For TMC26x in interpolation mode, use 16 microsteps</t>
  </si>
  <si>
    <t>TMC429 : Step Velocity &amp; Acceleration =&gt; TMC429 Motion Parameters</t>
  </si>
  <si>
    <t>Resulting TMC429 Prameters:</t>
  </si>
  <si>
    <t>RAMPDIV =</t>
  </si>
  <si>
    <t>&lt; set this value within range 0 ... 13</t>
  </si>
  <si>
    <t>PULSDIV =</t>
  </si>
  <si>
    <t>AMAX =</t>
  </si>
  <si>
    <t>&lt; set this value within range 0 ... 2047</t>
  </si>
  <si>
    <t>P_REDUCTION =</t>
  </si>
  <si>
    <t>P =</t>
  </si>
  <si>
    <t>P = AMAX / ( 2^7 * 2^(RAMPDIV-PULSDIV) )</t>
  </si>
  <si>
    <t>P_REDUCED =</t>
  </si>
  <si>
    <t>P_REDUCED = P * ( 1 - P_REDUCTION[%] )</t>
  </si>
  <si>
    <t>P_MUL = P_REDUCED * 2^3 * 2^PDIV</t>
  </si>
  <si>
    <t>PMUL = GANZZAHL(P_MUL)</t>
  </si>
  <si>
    <t>P_MUL</t>
  </si>
  <si>
    <t>PMUL</t>
  </si>
  <si>
    <t>P_DIV = 2^(3+PDIV)</t>
  </si>
  <si>
    <t>PDIV</t>
  </si>
  <si>
    <t xml:space="preserve"> P429 = P_MUL / P_DIV</t>
  </si>
  <si>
    <t>Choose that pair (PMUL, PDIV) out of 14 pairs with PMUL within valid range of 128 ... 255</t>
  </si>
  <si>
    <t>A_MAX_UPPER_LIMIT =</t>
  </si>
  <si>
    <t>A_MAX_LOWER_LIMIT =</t>
  </si>
  <si>
    <t>The lower limit of A_MAX might be &gt; 0 if RAMP_DIV &gt; PULSE_DIV</t>
  </si>
  <si>
    <t>TMC429 - spreadsheet to determine pmul / pdiv for the deceleration ramp</t>
  </si>
  <si>
    <t>&lt; choose a percentage between 1% ... 5%</t>
  </si>
  <si>
    <t>TMC429 : Setting up the Ramp Generator</t>
  </si>
  <si>
    <t>1. START: Preparation</t>
  </si>
  <si>
    <t>MHz</t>
  </si>
  <si>
    <t>Select system clock frequency used for TMC429</t>
  </si>
  <si>
    <t>Range</t>
  </si>
  <si>
    <t>Parameter</t>
  </si>
  <si>
    <t>1-32</t>
  </si>
  <si>
    <t>Hint</t>
  </si>
  <si>
    <t>Select the number of microsteps per fullstep</t>
  </si>
  <si>
    <t>µsteps</t>
  </si>
  <si>
    <t>Select your motor step resolution (steps per turn)</t>
  </si>
  <si>
    <t>steps</t>
  </si>
  <si>
    <t>typical 72, 200 or 400</t>
  </si>
  <si>
    <t>2. System velocity</t>
  </si>
  <si>
    <t>Set up the basic hardware related parameters</t>
  </si>
  <si>
    <t>RPM</t>
  </si>
  <si>
    <t>By choosing the maximum RPM, the TMC429 operation range can be set up using PULSE_DIV</t>
  </si>
  <si>
    <t>(may be copied from line 14)</t>
  </si>
  <si>
    <t>What is the maximum RPM desired in the application?</t>
  </si>
  <si>
    <t>roughly 1 - 6000</t>
  </si>
  <si>
    <t>to be calculated, please refere PMUL_PDIV_calculation</t>
  </si>
  <si>
    <t>…</t>
  </si>
  <si>
    <t>TMC429 parameters (select in steps below)</t>
  </si>
  <si>
    <t>[0…2047]</t>
  </si>
  <si>
    <t>[0…13]</t>
  </si>
  <si>
    <t>PULS_DIV</t>
  </si>
  <si>
    <t>Value</t>
  </si>
  <si>
    <t>Unit</t>
  </si>
  <si>
    <t>Now modify TMC429 PULS_DIV within the valid range until value RPM is slightly above your choice</t>
  </si>
  <si>
    <t>Now you may modify the velocity setting to exactly match your desired motion velocity.</t>
  </si>
  <si>
    <t>3. System acceleration</t>
  </si>
  <si>
    <t>RAMP_DIV</t>
  </si>
  <si>
    <t>V_MAX</t>
  </si>
  <si>
    <t>A_MAX</t>
  </si>
  <si>
    <t>Now enter TMC429 velocity V_MAX = 2047</t>
  </si>
  <si>
    <t>ramp time for linear ramp to reach V_MAX using A_MAX</t>
  </si>
  <si>
    <t>frequency equivalent of triangular ramps</t>
  </si>
  <si>
    <t>--&gt; A_MAX</t>
  </si>
  <si>
    <t>--&gt; V_MAX</t>
  </si>
  <si>
    <t>Follow the steps and enter values into the boxed fields, only.</t>
  </si>
  <si>
    <t>--&gt; RAMP_DIV</t>
  </si>
  <si>
    <t>s</t>
  </si>
  <si>
    <t>time to reach maximum velocity =</t>
  </si>
  <si>
    <t>number of full steps for acceleration phase to maximum velocity =</t>
  </si>
  <si>
    <t xml:space="preserve">What is the desired acceleration in the application? Modify A_MAX and PULS_DIV, until the resulting acceleration values (below) fit your application </t>
  </si>
  <si>
    <t>Set RAMP_DIV to PULS_DIV + 2 as starting point</t>
  </si>
  <si>
    <t>fullsteps</t>
  </si>
  <si>
    <t>These values limit the usable range of A_MAX in order to allow correct deceleration</t>
  </si>
  <si>
    <t>PMUL and PDIV setting has to be choosen in dependence of A_MAX, RAMP_DIV and PULS_DIV</t>
  </si>
  <si>
    <t>--&gt; Go to spreadsheet PMUL_PDIV_calculation for results</t>
  </si>
  <si>
    <t>4. Settings for deceleration (PMUL, PDIV)</t>
  </si>
  <si>
    <t>5. Finished</t>
  </si>
  <si>
    <t>(may be varied without re-calculation of PMUL and PDIV)</t>
  </si>
  <si>
    <t xml:space="preserve">You can later on use the single spread sheets, but editing there will modify links to the START page. </t>
  </si>
  <si>
    <t>typical PULS_DIV - 2 to PULS_DIV + 6</t>
  </si>
  <si>
    <t>This spreadsheet is meant as a guideline for setting the basic motion parameters.</t>
  </si>
  <si>
    <t>You can note your set of parameters now by saving the spreadsheet or copying your values here.</t>
  </si>
  <si>
    <t>The acceleration time required in a system depends on the dynamic load (flywheel load) on the motor</t>
  </si>
  <si>
    <t>V1.00</t>
  </si>
  <si>
    <t>2013-May-27</t>
  </si>
  <si>
    <t>Based on TMC428_PMUL_PDIV_Calculation and TMC429_frequencies</t>
  </si>
  <si>
    <t>BD</t>
  </si>
  <si>
    <t>History</t>
  </si>
  <si>
    <t>Version</t>
  </si>
  <si>
    <t>Date</t>
  </si>
  <si>
    <t>Author</t>
  </si>
  <si>
    <t>Comment</t>
  </si>
  <si>
    <t>When using a TMC26x driver, an interpolated resolution of 16 microsteps is most universal as a compromise between resolution, quietness and velocity</t>
  </si>
  <si>
    <t>For SPI driver, a high frequency of at least 16MHz should be preferred</t>
  </si>
  <si>
    <t>3 Phase motors also offer 300 and 600 steps</t>
  </si>
  <si>
    <t>Minimum</t>
  </si>
  <si>
    <t>Maximum</t>
  </si>
  <si>
    <t>Hint: Calculated V_MAX for target RPM</t>
  </si>
  <si>
    <t>V1.01</t>
  </si>
  <si>
    <t>2013-JUN-06</t>
  </si>
  <si>
    <t>BD, JM</t>
  </si>
  <si>
    <t>Added some info on START sheet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</si>
</sst>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"/>
    <numFmt numFmtId="174" formatCode="0.0"/>
    <numFmt numFmtId="175" formatCode="0.0%"/>
    <numFmt numFmtId="176" formatCode="0.00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1" fontId="0" fillId="0" borderId="0" xfId="0" applyNumberFormat="1" applyAlignment="1">
      <alignment/>
    </xf>
    <xf numFmtId="0" fontId="10" fillId="0" borderId="0" xfId="0" applyFont="1" applyAlignment="1">
      <alignment/>
    </xf>
    <xf numFmtId="175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Alignment="1" quotePrefix="1">
      <alignment horizontal="lef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1" fontId="0" fillId="0" borderId="0" xfId="0" applyNumberFormat="1" applyFill="1" applyBorder="1" applyAlignment="1">
      <alignment/>
    </xf>
    <xf numFmtId="0" fontId="8" fillId="0" borderId="0" xfId="0" applyFont="1" applyAlignment="1" quotePrefix="1">
      <alignment horizontal="right"/>
    </xf>
    <xf numFmtId="11" fontId="8" fillId="0" borderId="0" xfId="0" applyNumberFormat="1" applyFont="1" applyAlignment="1">
      <alignment horizontal="right"/>
    </xf>
    <xf numFmtId="11" fontId="1" fillId="0" borderId="0" xfId="0" applyNumberFormat="1" applyFont="1" applyAlignment="1">
      <alignment horizontal="right"/>
    </xf>
    <xf numFmtId="0" fontId="0" fillId="0" borderId="0" xfId="0" applyAlignment="1" quotePrefix="1">
      <alignment horizontal="right"/>
    </xf>
    <xf numFmtId="1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8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" fontId="1" fillId="33" borderId="14" xfId="0" applyNumberFormat="1" applyFont="1" applyFill="1" applyBorder="1" applyAlignment="1">
      <alignment/>
    </xf>
    <xf numFmtId="172" fontId="1" fillId="33" borderId="14" xfId="0" applyNumberFormat="1" applyFont="1" applyFill="1" applyBorder="1" applyAlignment="1">
      <alignment/>
    </xf>
    <xf numFmtId="11" fontId="0" fillId="33" borderId="14" xfId="0" applyNumberFormat="1" applyFill="1" applyBorder="1" applyAlignment="1">
      <alignment/>
    </xf>
    <xf numFmtId="1" fontId="1" fillId="33" borderId="15" xfId="0" applyNumberFormat="1" applyFont="1" applyFill="1" applyBorder="1" applyAlignment="1">
      <alignment horizontal="right"/>
    </xf>
    <xf numFmtId="17" fontId="0" fillId="0" borderId="0" xfId="0" applyNumberFormat="1" applyFont="1" applyAlignment="1" quotePrefix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 quotePrefix="1">
      <alignment/>
    </xf>
    <xf numFmtId="1" fontId="0" fillId="0" borderId="0" xfId="0" applyNumberFormat="1" applyFont="1" applyFill="1" applyAlignment="1" quotePrefix="1">
      <alignment/>
    </xf>
    <xf numFmtId="49" fontId="0" fillId="0" borderId="0" xfId="0" applyNumberFormat="1" applyAlignment="1">
      <alignment wrapText="1"/>
    </xf>
    <xf numFmtId="0" fontId="12" fillId="0" borderId="0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25" xfId="0" applyFont="1" applyBorder="1" applyAlignment="1">
      <alignment/>
    </xf>
    <xf numFmtId="0" fontId="12" fillId="0" borderId="25" xfId="0" applyFont="1" applyBorder="1" applyAlignment="1">
      <alignment/>
    </xf>
    <xf numFmtId="1" fontId="1" fillId="4" borderId="0" xfId="0" applyNumberFormat="1" applyFont="1" applyFill="1" applyAlignment="1">
      <alignment/>
    </xf>
    <xf numFmtId="0" fontId="1" fillId="4" borderId="0" xfId="0" applyFont="1" applyFill="1" applyAlignment="1">
      <alignment horizontal="center"/>
    </xf>
    <xf numFmtId="2" fontId="0" fillId="0" borderId="0" xfId="0" applyNumberFormat="1" applyFont="1" applyBorder="1" applyAlignment="1">
      <alignment/>
    </xf>
    <xf numFmtId="0" fontId="8" fillId="4" borderId="0" xfId="0" applyFont="1" applyFill="1" applyAlignment="1">
      <alignment/>
    </xf>
    <xf numFmtId="174" fontId="0" fillId="4" borderId="0" xfId="0" applyNumberFormat="1" applyFill="1" applyAlignment="1">
      <alignment/>
    </xf>
    <xf numFmtId="1" fontId="8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0" borderId="0" xfId="0" applyFont="1" applyAlignment="1">
      <alignment wrapText="1"/>
    </xf>
    <xf numFmtId="49" fontId="11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2" fontId="8" fillId="4" borderId="0" xfId="0" applyNumberFormat="1" applyFont="1" applyFill="1" applyAlignment="1">
      <alignment/>
    </xf>
    <xf numFmtId="1" fontId="1" fillId="0" borderId="26" xfId="0" applyNumberFormat="1" applyFont="1" applyBorder="1" applyAlignment="1">
      <alignment/>
    </xf>
    <xf numFmtId="1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2" fontId="1" fillId="0" borderId="26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8" fillId="0" borderId="0" xfId="0" applyNumberFormat="1" applyFont="1" applyAlignment="1">
      <alignment horizontal="left" wrapText="1"/>
    </xf>
    <xf numFmtId="0" fontId="0" fillId="0" borderId="0" xfId="0" applyFont="1" applyAlignment="1" quotePrefix="1">
      <alignment horizontal="left" vertical="center"/>
    </xf>
    <xf numFmtId="0" fontId="1" fillId="34" borderId="26" xfId="0" applyFont="1" applyFill="1" applyBorder="1" applyAlignment="1">
      <alignment/>
    </xf>
    <xf numFmtId="174" fontId="31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indexed="10"/>
      </font>
    </dxf>
    <dxf>
      <font>
        <b/>
        <i val="0"/>
      </font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1"/>
        </patternFill>
      </fill>
      <border>
        <left style="thin"/>
        <right style="thin"/>
        <top style="thin"/>
        <bottom style="thin"/>
      </border>
    </dxf>
    <dxf>
      <font>
        <b/>
        <i/>
        <color indexed="10"/>
      </font>
    </dxf>
    <dxf>
      <font>
        <b/>
        <i val="0"/>
      </font>
      <fill>
        <patternFill>
          <bgColor indexed="1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3.421875" style="0" customWidth="1"/>
    <col min="2" max="2" width="44.140625" style="0" customWidth="1"/>
    <col min="3" max="3" width="15.421875" style="0" customWidth="1"/>
    <col min="4" max="4" width="6.57421875" style="0" customWidth="1"/>
    <col min="5" max="5" width="19.00390625" style="0" customWidth="1"/>
    <col min="6" max="6" width="8.140625" style="0" customWidth="1"/>
    <col min="7" max="7" width="15.7109375" style="0" customWidth="1"/>
    <col min="8" max="8" width="5.8515625" style="0" bestFit="1" customWidth="1"/>
  </cols>
  <sheetData>
    <row r="1" ht="17.25">
      <c r="C1" s="7" t="s">
        <v>90</v>
      </c>
    </row>
    <row r="2" ht="13.5" thickBot="1"/>
    <row r="3" spans="2:11" ht="15">
      <c r="B3" s="16" t="s">
        <v>145</v>
      </c>
      <c r="F3" s="70"/>
      <c r="G3" s="78" t="s">
        <v>112</v>
      </c>
      <c r="H3" s="79"/>
      <c r="I3" s="79"/>
      <c r="J3" s="79"/>
      <c r="K3" s="71"/>
    </row>
    <row r="4" spans="2:11" ht="15" customHeight="1" thickBot="1">
      <c r="B4" s="16" t="s">
        <v>129</v>
      </c>
      <c r="F4" s="72"/>
      <c r="G4" s="73" t="s">
        <v>95</v>
      </c>
      <c r="H4" s="73" t="s">
        <v>116</v>
      </c>
      <c r="I4" s="73" t="s">
        <v>94</v>
      </c>
      <c r="J4" s="18"/>
      <c r="K4" s="74"/>
    </row>
    <row r="5" spans="2:11" ht="15" thickBot="1">
      <c r="B5" s="16" t="s">
        <v>143</v>
      </c>
      <c r="F5" s="72"/>
      <c r="G5" s="67" t="s">
        <v>122</v>
      </c>
      <c r="H5" s="68">
        <v>2047</v>
      </c>
      <c r="I5" s="66" t="s">
        <v>113</v>
      </c>
      <c r="J5" s="18"/>
      <c r="K5" s="74"/>
    </row>
    <row r="6" spans="2:11" ht="6.75" customHeight="1" thickBot="1">
      <c r="B6" s="16"/>
      <c r="F6" s="72"/>
      <c r="G6" s="66"/>
      <c r="H6" s="66"/>
      <c r="I6" s="66"/>
      <c r="J6" s="18"/>
      <c r="K6" s="74"/>
    </row>
    <row r="7" spans="2:11" ht="15" thickBot="1">
      <c r="B7" s="16"/>
      <c r="F7" s="72"/>
      <c r="G7" s="67" t="s">
        <v>115</v>
      </c>
      <c r="H7" s="68">
        <v>3</v>
      </c>
      <c r="I7" s="66" t="s">
        <v>114</v>
      </c>
      <c r="J7" s="18"/>
      <c r="K7" s="74"/>
    </row>
    <row r="8" spans="2:11" ht="7.5" customHeight="1" thickBot="1">
      <c r="B8" s="16"/>
      <c r="F8" s="72"/>
      <c r="G8" s="66"/>
      <c r="H8" s="66"/>
      <c r="I8" s="66"/>
      <c r="J8" s="18"/>
      <c r="K8" s="74"/>
    </row>
    <row r="9" spans="2:11" ht="15" thickBot="1">
      <c r="B9" s="16"/>
      <c r="F9" s="72"/>
      <c r="G9" s="67" t="s">
        <v>123</v>
      </c>
      <c r="H9" s="68">
        <v>267</v>
      </c>
      <c r="I9" s="66" t="s">
        <v>113</v>
      </c>
      <c r="J9" s="18"/>
      <c r="K9" s="74"/>
    </row>
    <row r="10" spans="2:11" ht="7.5" customHeight="1" thickBot="1">
      <c r="B10" s="16"/>
      <c r="F10" s="72"/>
      <c r="G10" s="66"/>
      <c r="H10" s="66"/>
      <c r="I10" s="66"/>
      <c r="J10" s="18"/>
      <c r="K10" s="74"/>
    </row>
    <row r="11" spans="2:11" ht="15" thickBot="1">
      <c r="B11" s="16"/>
      <c r="F11" s="72"/>
      <c r="G11" s="67" t="s">
        <v>121</v>
      </c>
      <c r="H11" s="68">
        <v>8</v>
      </c>
      <c r="I11" s="66" t="s">
        <v>114</v>
      </c>
      <c r="J11" s="18"/>
      <c r="K11" s="74"/>
    </row>
    <row r="12" spans="2:11" ht="5.25" customHeight="1" thickBot="1">
      <c r="B12" s="16"/>
      <c r="F12" s="75"/>
      <c r="G12" s="76"/>
      <c r="H12" s="76"/>
      <c r="I12" s="76"/>
      <c r="J12" s="76"/>
      <c r="K12" s="77"/>
    </row>
    <row r="13" spans="2:11" ht="12.75">
      <c r="B13" s="16"/>
      <c r="F13" s="18"/>
      <c r="G13" s="18"/>
      <c r="H13" s="18"/>
      <c r="I13" s="18"/>
      <c r="J13" s="18"/>
      <c r="K13" s="18"/>
    </row>
    <row r="14" spans="3:7" ht="12.75">
      <c r="C14" s="6" t="s">
        <v>116</v>
      </c>
      <c r="D14" s="6" t="s">
        <v>117</v>
      </c>
      <c r="E14" s="6" t="s">
        <v>94</v>
      </c>
      <c r="F14" s="6"/>
      <c r="G14" s="6" t="s">
        <v>97</v>
      </c>
    </row>
    <row r="15" spans="2:7" s="6" customFormat="1" ht="15">
      <c r="B15" s="90" t="s">
        <v>91</v>
      </c>
      <c r="G15" s="16" t="s">
        <v>104</v>
      </c>
    </row>
    <row r="16" spans="2:7" ht="12.75">
      <c r="B16" s="93" t="s">
        <v>93</v>
      </c>
      <c r="C16" s="103">
        <v>16</v>
      </c>
      <c r="D16" s="13" t="s">
        <v>92</v>
      </c>
      <c r="E16" s="59" t="s">
        <v>96</v>
      </c>
      <c r="F16" s="60" t="str">
        <f>D16</f>
        <v>MHz</v>
      </c>
      <c r="G16" s="13" t="s">
        <v>158</v>
      </c>
    </row>
    <row r="17" spans="2:7" ht="12.75">
      <c r="B17" s="93" t="s">
        <v>98</v>
      </c>
      <c r="C17" s="103">
        <v>16</v>
      </c>
      <c r="D17" s="13" t="s">
        <v>99</v>
      </c>
      <c r="F17" s="60" t="str">
        <f>D17</f>
        <v>µsteps</v>
      </c>
      <c r="G17" s="13" t="s">
        <v>157</v>
      </c>
    </row>
    <row r="18" spans="2:7" ht="12.75">
      <c r="B18" s="93" t="s">
        <v>100</v>
      </c>
      <c r="C18" s="103">
        <v>200</v>
      </c>
      <c r="D18" s="13" t="s">
        <v>101</v>
      </c>
      <c r="E18" s="13" t="s">
        <v>102</v>
      </c>
      <c r="F18" s="61" t="str">
        <f>D18</f>
        <v>steps</v>
      </c>
      <c r="G18" s="100" t="s">
        <v>159</v>
      </c>
    </row>
    <row r="19" spans="2:6" ht="12.75">
      <c r="B19" s="92"/>
      <c r="F19" s="62"/>
    </row>
    <row r="20" spans="2:7" ht="15">
      <c r="B20" s="90" t="s">
        <v>103</v>
      </c>
      <c r="F20" s="62"/>
      <c r="G20" s="16"/>
    </row>
    <row r="21" spans="2:7" ht="26.25">
      <c r="B21" s="91" t="s">
        <v>108</v>
      </c>
      <c r="C21" s="103">
        <v>1000</v>
      </c>
      <c r="D21" s="13" t="s">
        <v>105</v>
      </c>
      <c r="E21" s="59" t="s">
        <v>109</v>
      </c>
      <c r="F21" s="62" t="str">
        <f>D21</f>
        <v>RPM</v>
      </c>
      <c r="G21" s="13" t="s">
        <v>106</v>
      </c>
    </row>
    <row r="22" spans="2:6" ht="12.75">
      <c r="B22" s="93" t="s">
        <v>124</v>
      </c>
      <c r="C22" s="63" t="s">
        <v>128</v>
      </c>
      <c r="F22" s="62"/>
    </row>
    <row r="23" spans="2:7" ht="26.25">
      <c r="B23" s="93" t="s">
        <v>118</v>
      </c>
      <c r="C23" s="87">
        <f>tmc429_rhz!C37</f>
        <v>1171.3027954101562</v>
      </c>
      <c r="D23" s="13" t="s">
        <v>105</v>
      </c>
      <c r="F23" s="62"/>
      <c r="G23" s="69" t="str">
        <f>IF(H5&lt;&gt;2047,"Set V_MAX to 2047",IF(C23&gt;2*C21,"Increase PULS_DIV",IF(AND((C23&lt;C21),(H7&gt;0)),"Decrease PULS_DIV",IF(AND((H7=0),(C23&lt;C21)),"Decrease microstep resolution","PULS_DIV is OK"))))</f>
        <v>PULS_DIV is OK</v>
      </c>
    </row>
    <row r="24" spans="2:7" ht="27">
      <c r="B24" s="93" t="s">
        <v>119</v>
      </c>
      <c r="C24" s="63" t="s">
        <v>128</v>
      </c>
      <c r="E24" s="104">
        <f>(2^H7*2048*32*(C21*C18*C17/60))/(C16*1000000)</f>
        <v>1747.6266666666668</v>
      </c>
      <c r="F24" s="62"/>
      <c r="G24" s="13" t="s">
        <v>162</v>
      </c>
    </row>
    <row r="25" spans="2:6" ht="12.75">
      <c r="B25" s="92"/>
      <c r="F25" s="62"/>
    </row>
    <row r="26" spans="2:6" ht="15">
      <c r="B26" s="90" t="s">
        <v>120</v>
      </c>
      <c r="F26" s="62"/>
    </row>
    <row r="27" spans="2:7" ht="26.25">
      <c r="B27" s="93" t="s">
        <v>135</v>
      </c>
      <c r="C27" s="63" t="s">
        <v>130</v>
      </c>
      <c r="E27" s="89" t="s">
        <v>144</v>
      </c>
      <c r="F27" s="62"/>
      <c r="G27" s="69" t="str">
        <f>IF(H11&lt;H7-2,"RAMP_DIV is quite low, increase RAMP_DIV",IF(H11&gt;H7+6,"RAMP_DIV is quite high, decrease RAMP_DIV","RAMP_DIV is in a good range now."))</f>
        <v>RAMP_DIV is in a good range now.</v>
      </c>
    </row>
    <row r="28" spans="2:7" ht="27" customHeight="1">
      <c r="B28" s="101" t="s">
        <v>134</v>
      </c>
      <c r="C28" s="102" t="s">
        <v>127</v>
      </c>
      <c r="E28" s="27">
        <f>PMUL_PDIV_calculation!D40</f>
        <v>16</v>
      </c>
      <c r="F28" s="61" t="s">
        <v>160</v>
      </c>
      <c r="G28" s="69" t="str">
        <f>IF(H9&lt;20,"A_MAX is quite low, you should increase RAMP_DIV for better resolution and double A_MAX",IF(H9&gt;=2000,"Decrease RAMP_DIV if you want to have a higher acceleration","Modify A_MAX as desired"))</f>
        <v>Modify A_MAX as desired</v>
      </c>
    </row>
    <row r="29" spans="2:7" ht="13.5" customHeight="1">
      <c r="B29" s="101"/>
      <c r="C29" s="102"/>
      <c r="E29" s="13">
        <f>IF(PMUL_PDIV_calculation!D39&gt;2047,2047,PMUL_PDIV_calculation!D39)</f>
        <v>2047</v>
      </c>
      <c r="F29" s="61" t="s">
        <v>161</v>
      </c>
      <c r="G29" s="69"/>
    </row>
    <row r="30" spans="2:7" ht="12.75">
      <c r="B30" s="94" t="s">
        <v>132</v>
      </c>
      <c r="C30" s="95">
        <f>tmc429_rhz!C49</f>
        <v>1.0048853333333334</v>
      </c>
      <c r="D30" t="s">
        <v>131</v>
      </c>
      <c r="F30" s="62"/>
      <c r="G30" s="13" t="s">
        <v>147</v>
      </c>
    </row>
    <row r="31" spans="2:7" ht="26.25">
      <c r="B31" s="94" t="s">
        <v>133</v>
      </c>
      <c r="C31" s="87">
        <f>tmc429_rhz!C52</f>
        <v>1961.7083333333337</v>
      </c>
      <c r="D31" s="13" t="s">
        <v>136</v>
      </c>
      <c r="F31" s="62"/>
      <c r="G31" s="69" t="str">
        <f>IF(C31&lt;10,"This is a very fast acceleration ramp, make sure this is what is desired",IF(C31&gt;=100000,"This is a very long acceleration ramp, make sure this is desired","Modify A_MAX as desired"))</f>
        <v>Modify A_MAX as desired</v>
      </c>
    </row>
    <row r="32" spans="2:6" ht="12.75">
      <c r="B32" s="92"/>
      <c r="F32" s="62"/>
    </row>
    <row r="33" spans="2:6" ht="30.75">
      <c r="B33" s="90" t="s">
        <v>140</v>
      </c>
      <c r="F33" s="62"/>
    </row>
    <row r="34" spans="2:6" ht="39">
      <c r="B34" s="93" t="s">
        <v>138</v>
      </c>
      <c r="C34" s="63" t="s">
        <v>139</v>
      </c>
      <c r="F34" s="62"/>
    </row>
    <row r="35" spans="2:6" ht="12.75">
      <c r="B35" s="92"/>
      <c r="F35" s="62"/>
    </row>
    <row r="36" spans="2:6" ht="15">
      <c r="B36" s="90" t="s">
        <v>141</v>
      </c>
      <c r="F36" s="62"/>
    </row>
    <row r="37" spans="2:6" ht="39">
      <c r="B37" s="94" t="s">
        <v>146</v>
      </c>
      <c r="C37" s="13" t="s">
        <v>122</v>
      </c>
      <c r="E37" s="13" t="s">
        <v>142</v>
      </c>
      <c r="F37" s="62"/>
    </row>
    <row r="38" spans="2:6" ht="12.75">
      <c r="B38" s="92"/>
      <c r="C38" s="13" t="s">
        <v>115</v>
      </c>
      <c r="F38" s="62"/>
    </row>
    <row r="39" spans="2:6" ht="12.75">
      <c r="B39" s="92"/>
      <c r="C39" s="13" t="s">
        <v>123</v>
      </c>
      <c r="F39" s="62"/>
    </row>
    <row r="40" spans="2:6" ht="12.75">
      <c r="B40" s="92"/>
      <c r="C40" s="13" t="s">
        <v>121</v>
      </c>
      <c r="F40" s="62"/>
    </row>
    <row r="41" spans="2:6" ht="12.75">
      <c r="B41" s="92"/>
      <c r="C41" s="13" t="s">
        <v>80</v>
      </c>
      <c r="F41" s="62"/>
    </row>
    <row r="42" spans="2:6" ht="12.75">
      <c r="B42" s="92"/>
      <c r="C42" s="13" t="s">
        <v>82</v>
      </c>
      <c r="F42" s="62"/>
    </row>
    <row r="43" spans="2:6" ht="12.75">
      <c r="B43" s="92"/>
      <c r="F43" s="62"/>
    </row>
    <row r="44" spans="2:6" ht="12.75">
      <c r="B44" s="92"/>
      <c r="F44" s="62"/>
    </row>
    <row r="45" spans="2:6" ht="12.75">
      <c r="B45" s="65"/>
      <c r="F45" s="62"/>
    </row>
    <row r="46" ht="12.75">
      <c r="F46" s="62"/>
    </row>
    <row r="47" ht="12.75">
      <c r="F47" s="62"/>
    </row>
    <row r="48" ht="12.75">
      <c r="F48" s="62"/>
    </row>
  </sheetData>
  <sheetProtection/>
  <mergeCells count="2">
    <mergeCell ref="B28:B29"/>
    <mergeCell ref="C28:C29"/>
  </mergeCells>
  <conditionalFormatting sqref="E28">
    <cfRule type="expression" priority="2" dxfId="0" stopIfTrue="1">
      <formula>$E$28&gt;$H$9</formula>
    </cfRule>
  </conditionalFormatting>
  <conditionalFormatting sqref="E29">
    <cfRule type="expression" priority="1" dxfId="0" stopIfTrue="1">
      <formula>$H$9&gt;$E$29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7">
      <selection activeCell="K24" sqref="K24"/>
    </sheetView>
  </sheetViews>
  <sheetFormatPr defaultColWidth="11.421875" defaultRowHeight="12.75"/>
  <cols>
    <col min="1" max="1" width="3.421875" style="0" customWidth="1"/>
    <col min="2" max="2" width="26.28125" style="0" customWidth="1"/>
    <col min="3" max="3" width="14.00390625" style="0" customWidth="1"/>
    <col min="4" max="4" width="3.421875" style="0" customWidth="1"/>
    <col min="5" max="5" width="13.421875" style="0" customWidth="1"/>
    <col min="6" max="6" width="3.28125" style="0" customWidth="1"/>
    <col min="7" max="7" width="16.140625" style="0" customWidth="1"/>
    <col min="8" max="8" width="13.57421875" style="0" customWidth="1"/>
  </cols>
  <sheetData>
    <row r="2" ht="17.25">
      <c r="C2" s="7" t="s">
        <v>62</v>
      </c>
    </row>
    <row r="3" spans="9:11" ht="12.75">
      <c r="I3" s="10"/>
      <c r="J3" s="10"/>
      <c r="K3" s="10"/>
    </row>
    <row r="4" spans="2:11" ht="12.75">
      <c r="B4" s="11" t="s">
        <v>30</v>
      </c>
      <c r="I4" s="10"/>
      <c r="J4" s="10"/>
      <c r="K4" s="10"/>
    </row>
    <row r="6" spans="2:7" ht="12.75">
      <c r="B6" s="3" t="s">
        <v>63</v>
      </c>
      <c r="E6" s="4" t="s">
        <v>10</v>
      </c>
      <c r="G6" s="6" t="s">
        <v>21</v>
      </c>
    </row>
    <row r="7" ht="12.75">
      <c r="H7" s="11" t="s">
        <v>29</v>
      </c>
    </row>
    <row r="8" spans="2:8" ht="12.75">
      <c r="B8" s="2" t="s">
        <v>53</v>
      </c>
      <c r="C8" s="97">
        <f>1000000*START!C16</f>
        <v>16000000</v>
      </c>
      <c r="E8" t="s">
        <v>61</v>
      </c>
      <c r="H8" s="11"/>
    </row>
    <row r="9" ht="12.75">
      <c r="B9" s="2"/>
    </row>
    <row r="10" spans="2:5" ht="12.75">
      <c r="B10" s="2" t="s">
        <v>54</v>
      </c>
      <c r="C10" s="97">
        <f>START!H7</f>
        <v>3</v>
      </c>
      <c r="E10" t="s">
        <v>13</v>
      </c>
    </row>
    <row r="11" spans="2:5" ht="12.75">
      <c r="B11" s="2" t="s">
        <v>55</v>
      </c>
      <c r="C11" s="96">
        <f>START!H5</f>
        <v>2047</v>
      </c>
      <c r="E11" t="s">
        <v>9</v>
      </c>
    </row>
    <row r="12" spans="2:3" ht="12.75">
      <c r="B12" s="2"/>
      <c r="C12" s="1"/>
    </row>
    <row r="13" spans="2:5" ht="12.75">
      <c r="B13" s="2" t="s">
        <v>56</v>
      </c>
      <c r="C13" s="97">
        <f>START!H11</f>
        <v>8</v>
      </c>
      <c r="E13" t="s">
        <v>13</v>
      </c>
    </row>
    <row r="14" spans="2:5" ht="12.75">
      <c r="B14" s="2" t="s">
        <v>57</v>
      </c>
      <c r="C14" s="96">
        <f>START!H9</f>
        <v>267</v>
      </c>
      <c r="E14" t="s">
        <v>9</v>
      </c>
    </row>
    <row r="15" spans="2:3" ht="12.75">
      <c r="B15" s="2"/>
      <c r="C15" s="1"/>
    </row>
    <row r="17" ht="12.75">
      <c r="B17" s="3" t="s">
        <v>1</v>
      </c>
    </row>
    <row r="19" spans="2:3" ht="12.75">
      <c r="B19" s="2" t="s">
        <v>58</v>
      </c>
      <c r="C19" s="98">
        <f>START!C18</f>
        <v>200</v>
      </c>
    </row>
    <row r="21" spans="2:6" ht="12.75">
      <c r="B21" s="2"/>
      <c r="F21" t="s">
        <v>48</v>
      </c>
    </row>
    <row r="22" ht="12.75">
      <c r="B22" s="81" t="s">
        <v>5</v>
      </c>
    </row>
    <row r="23" ht="12.75">
      <c r="B23" s="4"/>
    </row>
    <row r="24" spans="2:11" ht="12.75">
      <c r="B24" s="22" t="s">
        <v>49</v>
      </c>
      <c r="C24" s="88">
        <f>2^($C$13-$C$10+12)-1</f>
        <v>131071</v>
      </c>
      <c r="G24" s="16" t="s">
        <v>50</v>
      </c>
      <c r="K24" s="13" t="s">
        <v>137</v>
      </c>
    </row>
    <row r="25" spans="2:7" ht="12.75">
      <c r="B25" s="14" t="s">
        <v>32</v>
      </c>
      <c r="C25" s="88">
        <f>2^($C$13-$C$10-1)</f>
        <v>16</v>
      </c>
      <c r="G25" s="16" t="s">
        <v>31</v>
      </c>
    </row>
    <row r="26" ht="12.75">
      <c r="B26" s="2"/>
    </row>
    <row r="27" spans="2:7" ht="12.75">
      <c r="B27" s="2" t="s">
        <v>16</v>
      </c>
      <c r="C27" s="27">
        <f>START!C17</f>
        <v>16</v>
      </c>
      <c r="G27" s="16" t="s">
        <v>64</v>
      </c>
    </row>
    <row r="28" spans="2:3" ht="12.75">
      <c r="B28" s="2" t="s">
        <v>17</v>
      </c>
      <c r="C28" s="86">
        <f>$C$27*$C$19</f>
        <v>3200</v>
      </c>
    </row>
    <row r="29" ht="12.75">
      <c r="B29" s="2"/>
    </row>
    <row r="30" spans="2:4" ht="12.75">
      <c r="B30" s="2" t="s">
        <v>19</v>
      </c>
      <c r="C30" s="86">
        <f>360/$C$28</f>
        <v>0.1125</v>
      </c>
      <c r="D30" t="s">
        <v>20</v>
      </c>
    </row>
    <row r="31" spans="2:4" ht="12.75">
      <c r="B31" s="2" t="s">
        <v>18</v>
      </c>
      <c r="C31">
        <f>360/$C$19</f>
        <v>1.8</v>
      </c>
      <c r="D31" t="s">
        <v>20</v>
      </c>
    </row>
    <row r="33" spans="2:7" ht="16.5" customHeight="1">
      <c r="B33" s="2" t="s">
        <v>2</v>
      </c>
      <c r="C33" s="5">
        <f>+$C$8*$C$11/(2^$C$10*2048*32)</f>
        <v>62469.482421875</v>
      </c>
      <c r="G33" t="s">
        <v>7</v>
      </c>
    </row>
    <row r="34" spans="2:7" ht="15">
      <c r="B34" s="2" t="s">
        <v>3</v>
      </c>
      <c r="C34" s="5">
        <f>+C33/C27</f>
        <v>3904.3426513671875</v>
      </c>
      <c r="G34" s="9" t="s">
        <v>14</v>
      </c>
    </row>
    <row r="35" spans="2:3" ht="12.75">
      <c r="B35" s="2"/>
      <c r="C35" s="5"/>
    </row>
    <row r="36" spans="2:7" ht="15" customHeight="1">
      <c r="B36" s="2" t="s">
        <v>8</v>
      </c>
      <c r="C36" s="87">
        <f>$C$34/$C$19</f>
        <v>19.521713256835938</v>
      </c>
      <c r="G36" t="s">
        <v>33</v>
      </c>
    </row>
    <row r="37" spans="2:7" ht="15.75" customHeight="1">
      <c r="B37" s="2" t="s">
        <v>4</v>
      </c>
      <c r="C37" s="87">
        <f>+$C$36*60</f>
        <v>1171.3027954101562</v>
      </c>
      <c r="G37" t="s">
        <v>34</v>
      </c>
    </row>
    <row r="38" spans="2:3" ht="13.5" customHeight="1">
      <c r="B38" s="2"/>
      <c r="C38" s="5"/>
    </row>
    <row r="39" spans="2:7" ht="16.5" customHeight="1">
      <c r="B39" s="8" t="s">
        <v>6</v>
      </c>
      <c r="C39" s="5">
        <f>$C$36*2*PI()</f>
        <v>122.65854190632452</v>
      </c>
      <c r="G39" t="s">
        <v>51</v>
      </c>
    </row>
    <row r="41" spans="2:7" ht="12.75">
      <c r="B41" s="2" t="s">
        <v>12</v>
      </c>
      <c r="C41" s="5">
        <f>+$C$8*$C$8*$C$14/(2^($C$10+$C$13+29))</f>
        <v>62165.78185558319</v>
      </c>
      <c r="G41" t="s">
        <v>22</v>
      </c>
    </row>
    <row r="42" spans="2:3" ht="15">
      <c r="B42" s="2" t="s">
        <v>15</v>
      </c>
      <c r="C42" s="5">
        <f>$C$41/$C27</f>
        <v>3885.3613659739494</v>
      </c>
    </row>
    <row r="44" spans="2:9" ht="12.75">
      <c r="B44" s="14" t="s">
        <v>26</v>
      </c>
      <c r="C44" s="15">
        <f>$C$41/$C$28</f>
        <v>19.426806829869747</v>
      </c>
      <c r="D44" s="11"/>
      <c r="E44" s="11"/>
      <c r="F44" s="11"/>
      <c r="G44" s="16" t="s">
        <v>39</v>
      </c>
      <c r="H44" s="11"/>
      <c r="I44" s="11"/>
    </row>
    <row r="45" spans="2:9" ht="12.75">
      <c r="B45" s="14" t="s">
        <v>27</v>
      </c>
      <c r="C45" s="15">
        <f>+$C$44*60</f>
        <v>1165.6084097921848</v>
      </c>
      <c r="D45" s="11"/>
      <c r="E45" s="11"/>
      <c r="F45" s="11"/>
      <c r="G45" s="16" t="s">
        <v>40</v>
      </c>
      <c r="H45" s="11"/>
      <c r="I45" s="11"/>
    </row>
    <row r="46" spans="2:9" ht="12.75">
      <c r="B46" s="14"/>
      <c r="C46" s="15"/>
      <c r="D46" s="11"/>
      <c r="E46" s="11"/>
      <c r="F46" s="11"/>
      <c r="G46" s="11"/>
      <c r="H46" s="11"/>
      <c r="I46" s="11"/>
    </row>
    <row r="47" spans="2:9" ht="12.75">
      <c r="B47" s="14" t="s">
        <v>28</v>
      </c>
      <c r="C47" s="15">
        <f>$C$44*2*PI()</f>
        <v>122.06222723885364</v>
      </c>
      <c r="D47" s="11"/>
      <c r="E47" s="11"/>
      <c r="F47" s="11"/>
      <c r="G47" t="s">
        <v>51</v>
      </c>
      <c r="H47" s="11"/>
      <c r="I47" s="11"/>
    </row>
    <row r="48" spans="2:9" ht="12.75">
      <c r="B48" s="11"/>
      <c r="C48" s="11"/>
      <c r="D48" s="11"/>
      <c r="E48" s="11"/>
      <c r="F48" s="11"/>
      <c r="G48" s="11"/>
      <c r="H48" s="11"/>
      <c r="I48" s="11"/>
    </row>
    <row r="49" spans="2:10" ht="12.75">
      <c r="B49" s="14" t="s">
        <v>23</v>
      </c>
      <c r="C49" s="83">
        <f>+$C33/$C$41</f>
        <v>1.0048853333333334</v>
      </c>
      <c r="D49" s="16"/>
      <c r="E49" s="16"/>
      <c r="F49" s="16"/>
      <c r="G49" s="16" t="s">
        <v>125</v>
      </c>
      <c r="H49" s="12"/>
      <c r="I49" s="12"/>
      <c r="J49" s="13"/>
    </row>
    <row r="50" spans="2:10" ht="12.75">
      <c r="B50" s="14" t="s">
        <v>24</v>
      </c>
      <c r="C50" s="16">
        <f>0.5/$C$49</f>
        <v>0.4975692085597826</v>
      </c>
      <c r="D50" s="16"/>
      <c r="E50" s="16"/>
      <c r="F50" s="16"/>
      <c r="G50" s="16" t="s">
        <v>25</v>
      </c>
      <c r="H50" s="12"/>
      <c r="I50" s="12"/>
      <c r="J50" s="13"/>
    </row>
    <row r="52" spans="2:7" ht="12.75">
      <c r="B52" s="14" t="s">
        <v>36</v>
      </c>
      <c r="C52" s="84">
        <f>0.5*C42*C49*C49</f>
        <v>1961.7083333333337</v>
      </c>
      <c r="G52" s="16" t="s">
        <v>37</v>
      </c>
    </row>
    <row r="53" spans="2:7" ht="12.75">
      <c r="B53" s="14" t="s">
        <v>35</v>
      </c>
      <c r="C53">
        <f>C52*C27</f>
        <v>31387.33333333334</v>
      </c>
      <c r="G53" s="16" t="s">
        <v>38</v>
      </c>
    </row>
  </sheetData>
  <sheetProtection/>
  <conditionalFormatting sqref="C8">
    <cfRule type="cellIs" priority="1" dxfId="11" operator="notBetween" stopIfTrue="1">
      <formula>0</formula>
      <formula>16000000</formula>
    </cfRule>
  </conditionalFormatting>
  <conditionalFormatting sqref="C10 C13">
    <cfRule type="cellIs" priority="2" dxfId="11" operator="notBetween" stopIfTrue="1">
      <formula>0</formula>
      <formula>13</formula>
    </cfRule>
  </conditionalFormatting>
  <conditionalFormatting sqref="C11 C14">
    <cfRule type="cellIs" priority="3" dxfId="11" operator="notBetween" stopIfTrue="1">
      <formula>0</formula>
      <formula>2047</formula>
    </cfRule>
  </conditionalFormatting>
  <conditionalFormatting sqref="C25">
    <cfRule type="cellIs" priority="5" dxfId="4" operator="greaterThan" stopIfTrue="1">
      <formula>1</formula>
    </cfRule>
  </conditionalFormatting>
  <conditionalFormatting sqref="C24">
    <cfRule type="cellIs" priority="6" dxfId="4" operator="lessThan" stopIfTrue="1">
      <formula>2046.99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64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3.421875" style="0" customWidth="1"/>
    <col min="2" max="2" width="26.28125" style="0" customWidth="1"/>
    <col min="3" max="3" width="14.00390625" style="0" customWidth="1"/>
    <col min="4" max="4" width="3.421875" style="0" customWidth="1"/>
    <col min="5" max="5" width="13.421875" style="0" customWidth="1"/>
    <col min="6" max="6" width="3.28125" style="0" customWidth="1"/>
    <col min="7" max="7" width="16.140625" style="0" customWidth="1"/>
    <col min="8" max="8" width="13.57421875" style="0" customWidth="1"/>
  </cols>
  <sheetData>
    <row r="2" ht="17.25">
      <c r="C2" s="7" t="s">
        <v>65</v>
      </c>
    </row>
    <row r="3" spans="9:11" ht="12.75">
      <c r="I3" s="10"/>
      <c r="J3" s="10"/>
      <c r="K3" s="10"/>
    </row>
    <row r="4" spans="2:11" ht="12.75">
      <c r="B4" s="11" t="s">
        <v>30</v>
      </c>
      <c r="I4" s="10"/>
      <c r="J4" s="10"/>
      <c r="K4" s="10"/>
    </row>
    <row r="6" spans="2:7" ht="12.75">
      <c r="B6" s="3" t="s">
        <v>63</v>
      </c>
      <c r="E6" s="4" t="s">
        <v>10</v>
      </c>
      <c r="G6" s="6" t="s">
        <v>21</v>
      </c>
    </row>
    <row r="7" ht="12.75">
      <c r="H7" s="11" t="s">
        <v>29</v>
      </c>
    </row>
    <row r="8" spans="2:8" ht="12.75">
      <c r="B8" s="2" t="s">
        <v>53</v>
      </c>
      <c r="C8" s="97">
        <f>1000000*START!C16</f>
        <v>16000000</v>
      </c>
      <c r="E8" t="s">
        <v>61</v>
      </c>
      <c r="H8" s="11"/>
    </row>
    <row r="9" spans="2:3" ht="12.75">
      <c r="B9" s="2"/>
      <c r="C9" s="18"/>
    </row>
    <row r="10" spans="2:5" ht="12.75">
      <c r="B10" s="2" t="s">
        <v>54</v>
      </c>
      <c r="C10" s="97">
        <f>START!H7</f>
        <v>3</v>
      </c>
      <c r="E10" t="s">
        <v>13</v>
      </c>
    </row>
    <row r="11" spans="2:5" ht="12.75">
      <c r="B11" s="2" t="s">
        <v>56</v>
      </c>
      <c r="C11" s="97">
        <f>START!H11</f>
        <v>8</v>
      </c>
      <c r="E11" t="s">
        <v>13</v>
      </c>
    </row>
    <row r="12" spans="2:3" ht="12.75">
      <c r="B12" s="2"/>
      <c r="C12" s="17"/>
    </row>
    <row r="13" spans="2:7" ht="12.75">
      <c r="B13" s="2"/>
      <c r="C13" s="17"/>
      <c r="G13" s="16"/>
    </row>
    <row r="14" ht="12.75">
      <c r="B14" s="3" t="s">
        <v>41</v>
      </c>
    </row>
    <row r="15" spans="2:7" ht="15">
      <c r="B15" s="2" t="s">
        <v>59</v>
      </c>
      <c r="C15" s="99">
        <f>tmc429_rhz!C34</f>
        <v>3904.3426513671875</v>
      </c>
      <c r="G15" s="9" t="s">
        <v>42</v>
      </c>
    </row>
    <row r="16" spans="2:7" ht="15">
      <c r="B16" s="2" t="s">
        <v>60</v>
      </c>
      <c r="C16" s="99">
        <f>tmc429_rhz!C42</f>
        <v>3885.3613659739494</v>
      </c>
      <c r="G16" t="s">
        <v>43</v>
      </c>
    </row>
    <row r="19" ht="12.75">
      <c r="B19" s="3" t="s">
        <v>1</v>
      </c>
    </row>
    <row r="21" spans="2:3" ht="12.75">
      <c r="B21" s="2" t="s">
        <v>58</v>
      </c>
      <c r="C21" s="98">
        <f>START!C18</f>
        <v>200</v>
      </c>
    </row>
    <row r="24" ht="12.75">
      <c r="B24" s="2"/>
    </row>
    <row r="25" ht="12.75">
      <c r="B25" s="81" t="s">
        <v>66</v>
      </c>
    </row>
    <row r="26" ht="12.75">
      <c r="B26" s="4"/>
    </row>
    <row r="27" spans="2:7" ht="12.75">
      <c r="B27" s="2" t="s">
        <v>0</v>
      </c>
      <c r="C27" s="80">
        <f>C44/$C$8*2^$C$10*2048*32</f>
        <v>2047</v>
      </c>
      <c r="E27" t="s">
        <v>9</v>
      </c>
      <c r="G27" t="s">
        <v>44</v>
      </c>
    </row>
    <row r="28" spans="2:7" ht="12.75">
      <c r="B28" s="2" t="s">
        <v>11</v>
      </c>
      <c r="C28" s="80">
        <f>C52*2^($C$10+$C$11+29)/$C$8/$C$8</f>
        <v>267</v>
      </c>
      <c r="E28" t="s">
        <v>9</v>
      </c>
      <c r="G28" t="s">
        <v>45</v>
      </c>
    </row>
    <row r="29" spans="2:3" ht="12.75">
      <c r="B29" s="2"/>
      <c r="C29" s="19"/>
    </row>
    <row r="30" spans="2:7" ht="12.75">
      <c r="B30" s="2" t="s">
        <v>46</v>
      </c>
      <c r="C30" s="64" t="s">
        <v>111</v>
      </c>
      <c r="G30" s="16" t="s">
        <v>110</v>
      </c>
    </row>
    <row r="31" spans="2:7" ht="12.75">
      <c r="B31" s="8" t="s">
        <v>47</v>
      </c>
      <c r="C31" s="63" t="s">
        <v>111</v>
      </c>
      <c r="G31" s="16" t="str">
        <f>G30</f>
        <v>to be calculated, please refere PMUL_PDIV_calculation</v>
      </c>
    </row>
    <row r="32" ht="12.75">
      <c r="B32" s="20"/>
    </row>
    <row r="33" ht="12.75">
      <c r="B33" s="4"/>
    </row>
    <row r="34" ht="12.75">
      <c r="B34" s="81" t="s">
        <v>5</v>
      </c>
    </row>
    <row r="35" ht="12.75">
      <c r="B35" s="4"/>
    </row>
    <row r="36" spans="2:7" ht="12.75">
      <c r="B36" s="14" t="s">
        <v>32</v>
      </c>
      <c r="C36" s="85">
        <f>2^($C$11-$C$10-1)</f>
        <v>16</v>
      </c>
      <c r="G36" s="16" t="s">
        <v>31</v>
      </c>
    </row>
    <row r="37" ht="12.75">
      <c r="B37" s="2"/>
    </row>
    <row r="38" spans="2:7" ht="12.75">
      <c r="B38" s="2" t="s">
        <v>16</v>
      </c>
      <c r="C38" s="1">
        <f>START!C17</f>
        <v>16</v>
      </c>
      <c r="G38" s="13" t="s">
        <v>107</v>
      </c>
    </row>
    <row r="39" spans="2:3" ht="12.75">
      <c r="B39" s="2" t="s">
        <v>17</v>
      </c>
      <c r="C39" s="86">
        <f>$C$38*$C$21</f>
        <v>3200</v>
      </c>
    </row>
    <row r="40" ht="12.75">
      <c r="B40" s="2"/>
    </row>
    <row r="41" spans="2:4" ht="12.75">
      <c r="B41" s="2" t="s">
        <v>19</v>
      </c>
      <c r="C41" s="86">
        <f>360/$C$39</f>
        <v>0.1125</v>
      </c>
      <c r="D41" t="s">
        <v>20</v>
      </c>
    </row>
    <row r="42" spans="2:4" ht="12.75">
      <c r="B42" s="2" t="s">
        <v>18</v>
      </c>
      <c r="C42">
        <f>360/$C$21</f>
        <v>1.8</v>
      </c>
      <c r="D42" t="s">
        <v>20</v>
      </c>
    </row>
    <row r="44" spans="2:7" ht="12.75">
      <c r="B44" s="2" t="s">
        <v>2</v>
      </c>
      <c r="C44" s="5">
        <f>C45*C38</f>
        <v>62469.482421875</v>
      </c>
      <c r="G44" t="s">
        <v>7</v>
      </c>
    </row>
    <row r="45" spans="2:7" ht="15">
      <c r="B45" s="2" t="s">
        <v>3</v>
      </c>
      <c r="C45" s="82">
        <f>$C$15</f>
        <v>3904.3426513671875</v>
      </c>
      <c r="G45" s="9" t="s">
        <v>14</v>
      </c>
    </row>
    <row r="46" spans="2:3" ht="12.75">
      <c r="B46" s="2"/>
      <c r="C46" s="5"/>
    </row>
    <row r="47" spans="2:7" ht="12.75">
      <c r="B47" s="2" t="s">
        <v>8</v>
      </c>
      <c r="C47" s="87">
        <f>$C$45/$C$21</f>
        <v>19.521713256835938</v>
      </c>
      <c r="G47" t="s">
        <v>33</v>
      </c>
    </row>
    <row r="48" spans="2:7" ht="12.75">
      <c r="B48" s="2" t="s">
        <v>4</v>
      </c>
      <c r="C48" s="5">
        <f>+$C$47*60</f>
        <v>1171.3027954101562</v>
      </c>
      <c r="G48" t="s">
        <v>34</v>
      </c>
    </row>
    <row r="49" spans="2:3" ht="12.75">
      <c r="B49" s="2"/>
      <c r="C49" s="5"/>
    </row>
    <row r="50" spans="2:7" ht="12.75">
      <c r="B50" s="8" t="s">
        <v>6</v>
      </c>
      <c r="C50" s="5">
        <f>$C$47*2*PI()</f>
        <v>122.65854190632452</v>
      </c>
      <c r="G50" t="s">
        <v>51</v>
      </c>
    </row>
    <row r="52" spans="2:7" ht="12.75">
      <c r="B52" s="2" t="s">
        <v>12</v>
      </c>
      <c r="C52" s="5">
        <f>C38*C53</f>
        <v>62165.78185558319</v>
      </c>
      <c r="G52" t="s">
        <v>22</v>
      </c>
    </row>
    <row r="53" spans="2:3" ht="15">
      <c r="B53" s="2" t="s">
        <v>15</v>
      </c>
      <c r="C53" s="82">
        <f>$C$16</f>
        <v>3885.3613659739494</v>
      </c>
    </row>
    <row r="55" spans="2:9" ht="12.75">
      <c r="B55" s="14" t="s">
        <v>26</v>
      </c>
      <c r="C55" s="15">
        <f>$C$52/$C$39</f>
        <v>19.426806829869747</v>
      </c>
      <c r="D55" s="11"/>
      <c r="E55" s="11"/>
      <c r="F55" s="11"/>
      <c r="G55" s="16" t="s">
        <v>39</v>
      </c>
      <c r="H55" s="11"/>
      <c r="I55" s="11"/>
    </row>
    <row r="56" spans="2:9" ht="12.75">
      <c r="B56" s="14" t="s">
        <v>27</v>
      </c>
      <c r="C56" s="15">
        <f>+$C$55*60</f>
        <v>1165.6084097921848</v>
      </c>
      <c r="D56" s="11"/>
      <c r="E56" s="11"/>
      <c r="F56" s="11"/>
      <c r="G56" s="16" t="s">
        <v>40</v>
      </c>
      <c r="H56" s="11"/>
      <c r="I56" s="11"/>
    </row>
    <row r="57" spans="2:9" ht="12.75">
      <c r="B57" s="14"/>
      <c r="C57" s="15"/>
      <c r="D57" s="11"/>
      <c r="E57" s="11"/>
      <c r="F57" s="11"/>
      <c r="G57" s="11"/>
      <c r="H57" s="11"/>
      <c r="I57" s="11"/>
    </row>
    <row r="58" spans="2:9" ht="12.75">
      <c r="B58" s="14" t="s">
        <v>28</v>
      </c>
      <c r="C58" s="15">
        <f>$C$55*2*PI()</f>
        <v>122.06222723885364</v>
      </c>
      <c r="D58" s="11"/>
      <c r="E58" s="11"/>
      <c r="F58" s="11"/>
      <c r="G58" t="s">
        <v>52</v>
      </c>
      <c r="H58" s="11"/>
      <c r="I58" s="11"/>
    </row>
    <row r="59" spans="2:9" ht="12.75">
      <c r="B59" s="11"/>
      <c r="C59" s="11"/>
      <c r="D59" s="11"/>
      <c r="E59" s="11"/>
      <c r="F59" s="11"/>
      <c r="G59" s="11"/>
      <c r="H59" s="11"/>
      <c r="I59" s="11"/>
    </row>
    <row r="60" spans="2:10" ht="12.75">
      <c r="B60" s="14" t="s">
        <v>23</v>
      </c>
      <c r="C60" s="83">
        <f>+$C44/$C$52</f>
        <v>1.0048853333333334</v>
      </c>
      <c r="D60" s="16"/>
      <c r="E60" s="16"/>
      <c r="F60" s="16"/>
      <c r="G60" s="16" t="s">
        <v>125</v>
      </c>
      <c r="H60" s="12"/>
      <c r="I60" s="12"/>
      <c r="J60" s="13"/>
    </row>
    <row r="61" spans="2:10" ht="12.75">
      <c r="B61" s="14" t="s">
        <v>24</v>
      </c>
      <c r="C61" s="16">
        <f>0.5/$C$60</f>
        <v>0.4975692085597826</v>
      </c>
      <c r="D61" s="16"/>
      <c r="E61" s="16"/>
      <c r="F61" s="16"/>
      <c r="G61" s="16" t="s">
        <v>126</v>
      </c>
      <c r="H61" s="12"/>
      <c r="I61" s="12"/>
      <c r="J61" s="13"/>
    </row>
    <row r="63" spans="2:7" ht="12.75">
      <c r="B63" s="14" t="s">
        <v>36</v>
      </c>
      <c r="C63" s="84">
        <f>0.5*C53*C60*C60</f>
        <v>1961.7083333333337</v>
      </c>
      <c r="G63" s="16" t="s">
        <v>37</v>
      </c>
    </row>
    <row r="64" spans="2:7" ht="12.75">
      <c r="B64" s="14" t="s">
        <v>35</v>
      </c>
      <c r="C64">
        <f>C63*C38</f>
        <v>31387.33333333334</v>
      </c>
      <c r="G64" s="16" t="s">
        <v>38</v>
      </c>
    </row>
  </sheetData>
  <sheetProtection/>
  <conditionalFormatting sqref="C27:C28">
    <cfRule type="cellIs" priority="1" dxfId="11" operator="notBetween" stopIfTrue="1">
      <formula>0</formula>
      <formula>2047</formula>
    </cfRule>
  </conditionalFormatting>
  <conditionalFormatting sqref="C10:C11">
    <cfRule type="cellIs" priority="2" dxfId="11" operator="notBetween" stopIfTrue="1">
      <formula>0</formula>
      <formula>13</formula>
    </cfRule>
  </conditionalFormatting>
  <conditionalFormatting sqref="C8">
    <cfRule type="cellIs" priority="3" dxfId="11" operator="notBetween" stopIfTrue="1">
      <formula>0</formula>
      <formula>16000000</formula>
    </cfRule>
  </conditionalFormatting>
  <conditionalFormatting sqref="C13">
    <cfRule type="cellIs" priority="4" dxfId="11" operator="notBetween" stopIfTrue="1">
      <formula>0</formula>
      <formula>6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1">
      <selection activeCell="D39" sqref="D39"/>
    </sheetView>
  </sheetViews>
  <sheetFormatPr defaultColWidth="11.421875" defaultRowHeight="12.75"/>
  <cols>
    <col min="1" max="1" width="2.8515625" style="0" customWidth="1"/>
    <col min="2" max="2" width="21.28125" style="0" customWidth="1"/>
    <col min="3" max="3" width="9.28125" style="1" customWidth="1"/>
    <col min="4" max="4" width="20.57421875" style="24" customWidth="1"/>
    <col min="5" max="6" width="6.7109375" style="24" customWidth="1"/>
    <col min="7" max="7" width="24.7109375" style="0" customWidth="1"/>
    <col min="8" max="8" width="6.7109375" style="24" customWidth="1"/>
    <col min="9" max="9" width="5.140625" style="0" customWidth="1"/>
  </cols>
  <sheetData>
    <row r="2" ht="17.25">
      <c r="D2" s="23" t="s">
        <v>88</v>
      </c>
    </row>
    <row r="3" ht="12.75" customHeight="1">
      <c r="G3" s="25"/>
    </row>
    <row r="4" spans="2:7" ht="12.75" customHeight="1">
      <c r="B4" s="11" t="s">
        <v>30</v>
      </c>
      <c r="G4" s="25"/>
    </row>
    <row r="5" ht="12.75" customHeight="1">
      <c r="G5" s="25"/>
    </row>
    <row r="6" spans="3:8" ht="12.75">
      <c r="C6" s="20" t="s">
        <v>67</v>
      </c>
      <c r="D6" s="96">
        <f>START!H11</f>
        <v>8</v>
      </c>
      <c r="E6" s="1"/>
      <c r="F6" t="s">
        <v>68</v>
      </c>
      <c r="H6"/>
    </row>
    <row r="7" spans="3:8" ht="12.75">
      <c r="C7" s="20" t="s">
        <v>69</v>
      </c>
      <c r="D7" s="96">
        <f>START!H7</f>
        <v>3</v>
      </c>
      <c r="E7" s="1"/>
      <c r="F7" t="s">
        <v>68</v>
      </c>
      <c r="H7"/>
    </row>
    <row r="8" spans="3:8" ht="12.75">
      <c r="C8" s="20" t="s">
        <v>70</v>
      </c>
      <c r="D8" s="96">
        <f>START!H9</f>
        <v>267</v>
      </c>
      <c r="E8" s="1"/>
      <c r="F8" t="s">
        <v>71</v>
      </c>
      <c r="H8"/>
    </row>
    <row r="9" spans="3:8" ht="12.75">
      <c r="C9" s="20"/>
      <c r="D9" s="21"/>
      <c r="E9" s="1"/>
      <c r="F9"/>
      <c r="H9"/>
    </row>
    <row r="10" spans="3:8" ht="12.75">
      <c r="C10" s="20" t="s">
        <v>72</v>
      </c>
      <c r="D10" s="26">
        <v>0.01</v>
      </c>
      <c r="E10" s="27"/>
      <c r="F10" s="27" t="s">
        <v>89</v>
      </c>
      <c r="H10" s="27"/>
    </row>
    <row r="11" spans="3:8" ht="12.75">
      <c r="C11" s="20"/>
      <c r="D11" s="21"/>
      <c r="E11" s="1"/>
      <c r="F11"/>
      <c r="H11"/>
    </row>
    <row r="12" spans="3:8" ht="12.75">
      <c r="C12" s="20"/>
      <c r="D12" s="21"/>
      <c r="E12" s="1"/>
      <c r="F12"/>
      <c r="H12"/>
    </row>
    <row r="13" spans="3:8" ht="12.75">
      <c r="C13" s="28" t="s">
        <v>73</v>
      </c>
      <c r="D13" s="29">
        <f>$D$8/(128*2^($D$6-$D$7))</f>
        <v>0.065185546875</v>
      </c>
      <c r="E13" s="1"/>
      <c r="F13" s="30" t="s">
        <v>74</v>
      </c>
      <c r="H13" s="30"/>
    </row>
    <row r="14" spans="3:6" ht="12.75">
      <c r="C14" s="28" t="s">
        <v>75</v>
      </c>
      <c r="D14" s="29">
        <f>$D$13*(1-$D$10)</f>
        <v>0.06453369140625</v>
      </c>
      <c r="F14" s="24" t="s">
        <v>76</v>
      </c>
    </row>
    <row r="15" spans="3:8" ht="12.75">
      <c r="C15" s="31"/>
      <c r="D15" s="32"/>
      <c r="E15" s="27"/>
      <c r="F15"/>
      <c r="H15"/>
    </row>
    <row r="16" spans="3:8" ht="12.75">
      <c r="C16" s="33"/>
      <c r="F16" s="34" t="s">
        <v>77</v>
      </c>
      <c r="H16" s="34"/>
    </row>
    <row r="17" spans="3:8" ht="12.75">
      <c r="C17" s="20"/>
      <c r="E17" s="20"/>
      <c r="F17" s="35" t="s">
        <v>78</v>
      </c>
      <c r="H17" s="35"/>
    </row>
    <row r="18" spans="5:8" ht="12.75">
      <c r="E18" s="20"/>
      <c r="F18" s="20"/>
      <c r="H18" s="20"/>
    </row>
    <row r="19" spans="2:8" ht="12.75">
      <c r="B19" s="6" t="s">
        <v>5</v>
      </c>
      <c r="H19" s="36"/>
    </row>
    <row r="20" spans="2:9" ht="12.75">
      <c r="B20" s="37" t="s">
        <v>79</v>
      </c>
      <c r="C20" s="33" t="s">
        <v>80</v>
      </c>
      <c r="D20" s="38" t="s">
        <v>81</v>
      </c>
      <c r="E20" s="39" t="s">
        <v>82</v>
      </c>
      <c r="F20" s="39"/>
      <c r="G20" s="40" t="s">
        <v>83</v>
      </c>
      <c r="H20" s="41"/>
      <c r="I20" s="2"/>
    </row>
    <row r="21" spans="2:8" ht="12.75">
      <c r="B21" s="42">
        <f>INT($D$14*8*POWER(2,$E21))</f>
        <v>0</v>
      </c>
      <c r="C21" s="43">
        <f aca="true" t="shared" si="0" ref="C21:C26">INT(B21)</f>
        <v>0</v>
      </c>
      <c r="D21" s="44">
        <v>8</v>
      </c>
      <c r="E21" s="45">
        <v>0</v>
      </c>
      <c r="F21" s="44"/>
      <c r="G21" s="46">
        <f>INT(B21)/INT(D21)</f>
        <v>0</v>
      </c>
      <c r="H21" s="47"/>
    </row>
    <row r="22" spans="2:8" ht="12.75">
      <c r="B22" s="42">
        <f aca="true" t="shared" si="1" ref="B22:B34">INT($D$14*8*POWER(2,$E22))</f>
        <v>1</v>
      </c>
      <c r="C22" s="48">
        <f t="shared" si="0"/>
        <v>1</v>
      </c>
      <c r="D22" s="44">
        <f aca="true" t="shared" si="2" ref="D22:D34">+D21*2</f>
        <v>16</v>
      </c>
      <c r="E22" s="49">
        <v>1</v>
      </c>
      <c r="F22" s="44"/>
      <c r="G22" s="46">
        <f aca="true" t="shared" si="3" ref="G22:G34">INT(B22)/INT(D22)</f>
        <v>0.0625</v>
      </c>
      <c r="H22" s="47"/>
    </row>
    <row r="23" spans="2:8" ht="12.75">
      <c r="B23" s="42">
        <f t="shared" si="1"/>
        <v>2</v>
      </c>
      <c r="C23" s="48">
        <f t="shared" si="0"/>
        <v>2</v>
      </c>
      <c r="D23" s="44">
        <f t="shared" si="2"/>
        <v>32</v>
      </c>
      <c r="E23" s="49">
        <v>2</v>
      </c>
      <c r="F23" s="44"/>
      <c r="G23" s="46">
        <f t="shared" si="3"/>
        <v>0.0625</v>
      </c>
      <c r="H23" s="47"/>
    </row>
    <row r="24" spans="2:8" ht="12.75">
      <c r="B24" s="42">
        <f t="shared" si="1"/>
        <v>4</v>
      </c>
      <c r="C24" s="48">
        <f t="shared" si="0"/>
        <v>4</v>
      </c>
      <c r="D24" s="44">
        <f t="shared" si="2"/>
        <v>64</v>
      </c>
      <c r="E24" s="49">
        <v>3</v>
      </c>
      <c r="F24" s="44"/>
      <c r="G24" s="46">
        <f t="shared" si="3"/>
        <v>0.0625</v>
      </c>
      <c r="H24" s="47"/>
    </row>
    <row r="25" spans="2:8" ht="12.75">
      <c r="B25" s="42">
        <f t="shared" si="1"/>
        <v>8</v>
      </c>
      <c r="C25" s="48">
        <f t="shared" si="0"/>
        <v>8</v>
      </c>
      <c r="D25" s="44">
        <f t="shared" si="2"/>
        <v>128</v>
      </c>
      <c r="E25" s="49">
        <v>4</v>
      </c>
      <c r="F25" s="44"/>
      <c r="G25" s="46">
        <f t="shared" si="3"/>
        <v>0.0625</v>
      </c>
      <c r="H25" s="47"/>
    </row>
    <row r="26" spans="2:8" ht="12.75">
      <c r="B26" s="42">
        <f t="shared" si="1"/>
        <v>16</v>
      </c>
      <c r="C26" s="48">
        <f t="shared" si="0"/>
        <v>16</v>
      </c>
      <c r="D26" s="44">
        <f t="shared" si="2"/>
        <v>256</v>
      </c>
      <c r="E26" s="49">
        <v>5</v>
      </c>
      <c r="F26" s="44"/>
      <c r="G26" s="46">
        <f t="shared" si="3"/>
        <v>0.0625</v>
      </c>
      <c r="H26" s="47"/>
    </row>
    <row r="27" spans="2:8" ht="12.75">
      <c r="B27" s="42">
        <f t="shared" si="1"/>
        <v>33</v>
      </c>
      <c r="C27" s="48">
        <f aca="true" t="shared" si="4" ref="C27:C33">INT(B27)</f>
        <v>33</v>
      </c>
      <c r="D27" s="44">
        <f t="shared" si="2"/>
        <v>512</v>
      </c>
      <c r="E27" s="49">
        <v>6</v>
      </c>
      <c r="F27" s="44"/>
      <c r="G27" s="46">
        <f t="shared" si="3"/>
        <v>0.064453125</v>
      </c>
      <c r="H27" s="47"/>
    </row>
    <row r="28" spans="2:8" ht="12.75">
      <c r="B28" s="42">
        <f t="shared" si="1"/>
        <v>66</v>
      </c>
      <c r="C28" s="48">
        <f t="shared" si="4"/>
        <v>66</v>
      </c>
      <c r="D28" s="44">
        <f t="shared" si="2"/>
        <v>1024</v>
      </c>
      <c r="E28" s="49">
        <v>7</v>
      </c>
      <c r="F28" s="44"/>
      <c r="G28" s="46">
        <f t="shared" si="3"/>
        <v>0.064453125</v>
      </c>
      <c r="H28" s="47"/>
    </row>
    <row r="29" spans="2:8" ht="12.75">
      <c r="B29" s="42">
        <f t="shared" si="1"/>
        <v>132</v>
      </c>
      <c r="C29" s="48">
        <f t="shared" si="4"/>
        <v>132</v>
      </c>
      <c r="D29" s="44">
        <f t="shared" si="2"/>
        <v>2048</v>
      </c>
      <c r="E29" s="49">
        <v>8</v>
      </c>
      <c r="F29" s="44"/>
      <c r="G29" s="46">
        <f t="shared" si="3"/>
        <v>0.064453125</v>
      </c>
      <c r="H29" s="47"/>
    </row>
    <row r="30" spans="2:8" ht="12.75">
      <c r="B30" s="42">
        <f t="shared" si="1"/>
        <v>264</v>
      </c>
      <c r="C30" s="48">
        <f t="shared" si="4"/>
        <v>264</v>
      </c>
      <c r="D30" s="44">
        <f t="shared" si="2"/>
        <v>4096</v>
      </c>
      <c r="E30" s="49">
        <v>9</v>
      </c>
      <c r="F30" s="44"/>
      <c r="G30" s="46">
        <f t="shared" si="3"/>
        <v>0.064453125</v>
      </c>
      <c r="H30" s="47"/>
    </row>
    <row r="31" spans="2:8" ht="12.75">
      <c r="B31" s="42">
        <f t="shared" si="1"/>
        <v>528</v>
      </c>
      <c r="C31" s="48">
        <f t="shared" si="4"/>
        <v>528</v>
      </c>
      <c r="D31" s="44">
        <f t="shared" si="2"/>
        <v>8192</v>
      </c>
      <c r="E31" s="49">
        <v>10</v>
      </c>
      <c r="F31" s="44"/>
      <c r="G31" s="46">
        <f t="shared" si="3"/>
        <v>0.064453125</v>
      </c>
      <c r="H31" s="47"/>
    </row>
    <row r="32" spans="2:8" ht="12.75">
      <c r="B32" s="42">
        <f t="shared" si="1"/>
        <v>1057</v>
      </c>
      <c r="C32" s="48">
        <f t="shared" si="4"/>
        <v>1057</v>
      </c>
      <c r="D32" s="44">
        <f t="shared" si="2"/>
        <v>16384</v>
      </c>
      <c r="E32" s="49">
        <v>11</v>
      </c>
      <c r="F32" s="44"/>
      <c r="G32" s="46">
        <f t="shared" si="3"/>
        <v>0.06451416015625</v>
      </c>
      <c r="H32" s="47"/>
    </row>
    <row r="33" spans="2:8" ht="12.75">
      <c r="B33" s="42">
        <f t="shared" si="1"/>
        <v>2114</v>
      </c>
      <c r="C33" s="48">
        <f t="shared" si="4"/>
        <v>2114</v>
      </c>
      <c r="D33" s="44">
        <f t="shared" si="2"/>
        <v>32768</v>
      </c>
      <c r="E33" s="49">
        <v>12</v>
      </c>
      <c r="F33" s="44"/>
      <c r="G33" s="46">
        <f t="shared" si="3"/>
        <v>0.06451416015625</v>
      </c>
      <c r="H33" s="47"/>
    </row>
    <row r="34" spans="2:8" ht="12.75">
      <c r="B34" s="42">
        <f t="shared" si="1"/>
        <v>4229</v>
      </c>
      <c r="C34" s="50">
        <f>INT(B34)</f>
        <v>4229</v>
      </c>
      <c r="D34" s="44">
        <f t="shared" si="2"/>
        <v>65536</v>
      </c>
      <c r="E34" s="51">
        <v>13</v>
      </c>
      <c r="F34" s="44"/>
      <c r="G34" s="46">
        <f t="shared" si="3"/>
        <v>0.0645294189453125</v>
      </c>
      <c r="H34" s="47"/>
    </row>
    <row r="35" spans="4:8" ht="12.75">
      <c r="D35" s="1"/>
      <c r="E35" s="1"/>
      <c r="F35" s="1"/>
      <c r="G35" s="52"/>
      <c r="H35" s="53"/>
    </row>
    <row r="36" spans="3:9" ht="12.75">
      <c r="C36" s="54"/>
      <c r="D36" s="55"/>
      <c r="E36" s="55"/>
      <c r="F36" s="55"/>
      <c r="G36" s="56"/>
      <c r="H36" s="57"/>
      <c r="I36" s="58" t="s">
        <v>84</v>
      </c>
    </row>
    <row r="37" spans="4:8" ht="12.75">
      <c r="D37" s="1"/>
      <c r="E37" s="1"/>
      <c r="F37" s="1"/>
      <c r="G37" s="52"/>
      <c r="H37" s="53"/>
    </row>
    <row r="38" spans="4:8" ht="12.75">
      <c r="D38" s="1"/>
      <c r="E38" s="1"/>
      <c r="F38" s="1"/>
      <c r="G38" s="52"/>
      <c r="H38" s="53"/>
    </row>
    <row r="39" spans="3:12" ht="12.75">
      <c r="C39" s="33" t="s">
        <v>85</v>
      </c>
      <c r="D39" s="88">
        <f>INT(2^(12+$D$6-$D$7))-1</f>
        <v>131071</v>
      </c>
      <c r="F39" s="24" t="s">
        <v>48</v>
      </c>
      <c r="L39" s="13" t="s">
        <v>137</v>
      </c>
    </row>
    <row r="40" spans="3:6" ht="12.75">
      <c r="C40" s="33" t="s">
        <v>86</v>
      </c>
      <c r="D40" s="88">
        <f>INT(2^($D$6-$D$7-1))</f>
        <v>16</v>
      </c>
      <c r="F40" s="24" t="s">
        <v>87</v>
      </c>
    </row>
  </sheetData>
  <sheetProtection/>
  <conditionalFormatting sqref="D6:D7">
    <cfRule type="cellIs" priority="1" dxfId="11" operator="notBetween" stopIfTrue="1">
      <formula>0</formula>
      <formula>13</formula>
    </cfRule>
  </conditionalFormatting>
  <conditionalFormatting sqref="D8:D9 D11:D12">
    <cfRule type="cellIs" priority="2" dxfId="11" operator="notBetween" stopIfTrue="1">
      <formula>0</formula>
      <formula>2047</formula>
    </cfRule>
  </conditionalFormatting>
  <conditionalFormatting sqref="C21:C34">
    <cfRule type="cellIs" priority="3" dxfId="22" operator="between" stopIfTrue="1">
      <formula>128</formula>
      <formula>255</formula>
    </cfRule>
  </conditionalFormatting>
  <conditionalFormatting sqref="D40">
    <cfRule type="cellIs" priority="4" dxfId="4" operator="greaterThan" stopIfTrue="1">
      <formula>1</formula>
    </cfRule>
  </conditionalFormatting>
  <conditionalFormatting sqref="E21:E34">
    <cfRule type="expression" priority="5" dxfId="22" stopIfTrue="1">
      <formula>AND($C21&gt;=128,$C21&lt;=255)</formula>
    </cfRule>
  </conditionalFormatting>
  <conditionalFormatting sqref="D21:D34 B21:B34">
    <cfRule type="expression" priority="6" dxfId="23" stopIfTrue="1">
      <formula>AND($C21&gt;=128,$C21&lt;=255)</formula>
    </cfRule>
  </conditionalFormatting>
  <conditionalFormatting sqref="F21:F34">
    <cfRule type="expression" priority="7" dxfId="24" stopIfTrue="1">
      <formula>AND($C21&gt;=128,$C21&lt;=255)</formula>
    </cfRule>
  </conditionalFormatting>
  <conditionalFormatting sqref="G21:G34">
    <cfRule type="expression" priority="8" dxfId="25" stopIfTrue="1">
      <formula>AND($C21&gt;=128,$C21&lt;=255)</formula>
    </cfRule>
  </conditionalFormatting>
  <conditionalFormatting sqref="D39">
    <cfRule type="cellIs" priority="9" dxfId="4" operator="lessThan" stopIfTrue="1">
      <formula>2046.99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C8" sqref="C8"/>
    </sheetView>
  </sheetViews>
  <sheetFormatPr defaultColWidth="11.421875" defaultRowHeight="12.75"/>
  <cols>
    <col min="4" max="4" width="81.7109375" style="0" customWidth="1"/>
  </cols>
  <sheetData>
    <row r="1" spans="1:4" ht="17.25">
      <c r="A1" s="23" t="s">
        <v>152</v>
      </c>
      <c r="B1" s="6"/>
      <c r="C1" s="6"/>
      <c r="D1" s="6"/>
    </row>
    <row r="2" spans="1:4" ht="12.75">
      <c r="A2" s="6" t="s">
        <v>153</v>
      </c>
      <c r="B2" s="6" t="s">
        <v>154</v>
      </c>
      <c r="C2" s="6" t="s">
        <v>155</v>
      </c>
      <c r="D2" s="6" t="s">
        <v>156</v>
      </c>
    </row>
    <row r="3" spans="1:4" ht="12.75">
      <c r="A3" s="13" t="s">
        <v>148</v>
      </c>
      <c r="B3" s="13" t="s">
        <v>149</v>
      </c>
      <c r="C3" s="13" t="s">
        <v>151</v>
      </c>
      <c r="D3" s="13" t="s">
        <v>150</v>
      </c>
    </row>
    <row r="4" spans="1:4" ht="12.75">
      <c r="A4" s="13" t="s">
        <v>163</v>
      </c>
      <c r="B4" s="13" t="s">
        <v>164</v>
      </c>
      <c r="C4" s="13" t="s">
        <v>165</v>
      </c>
      <c r="D4" s="13" t="s">
        <v>166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TRINAMIC  Microchips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Larsson</dc:creator>
  <cp:keywords/>
  <dc:description/>
  <cp:lastModifiedBy>Bernhard Dwersteg</cp:lastModifiedBy>
  <dcterms:created xsi:type="dcterms:W3CDTF">2001-08-22T10:37:43Z</dcterms:created>
  <dcterms:modified xsi:type="dcterms:W3CDTF">2013-06-06T13:30:11Z</dcterms:modified>
  <cp:category/>
  <cp:version/>
  <cp:contentType/>
  <cp:contentStatus/>
</cp:coreProperties>
</file>