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120" activeTab="2"/>
  </bookViews>
  <sheets>
    <sheet name="TMC26x_chopper" sheetId="1" r:id="rId1"/>
    <sheet name="Power_Dissipation" sheetId="2" r:id="rId2"/>
    <sheet name="Revision_History" sheetId="3" r:id="rId3"/>
  </sheets>
  <definedNames/>
  <calcPr fullCalcOnLoad="1"/>
</workbook>
</file>

<file path=xl/sharedStrings.xml><?xml version="1.0" encoding="utf-8"?>
<sst xmlns="http://schemas.openxmlformats.org/spreadsheetml/2006/main" count="148" uniqueCount="136">
  <si>
    <t>VM[V] :=</t>
  </si>
  <si>
    <t>Rcoil[Ohm] :=</t>
  </si>
  <si>
    <t>HystStart_MIN =</t>
  </si>
  <si>
    <t>fCLK[MHz] :=</t>
  </si>
  <si>
    <t>tCLK[s] =</t>
  </si>
  <si>
    <t>TBL :=</t>
  </si>
  <si>
    <t>tBLANK =</t>
  </si>
  <si>
    <t>CS :=</t>
  </si>
  <si>
    <t>Current Scaler</t>
  </si>
  <si>
    <t>dIcoilblank[A] =</t>
  </si>
  <si>
    <t>dIcoilsd[A] =</t>
  </si>
  <si>
    <t>determined by Rsense, CurrentScale (CS), Vsense</t>
  </si>
  <si>
    <t>6 ... 10 fits for most stepper motor types as initial value</t>
  </si>
  <si>
    <t>as set by TBL (=0, 1, 2, 3) &lt;=&gt; 16, 24, 36, 54 tCLK</t>
  </si>
  <si>
    <t>toff setting :=</t>
  </si>
  <si>
    <t>tSD[s] =</t>
  </si>
  <si>
    <t>L[H] :=</t>
  </si>
  <si>
    <t>Icoil (peak)[A] :=</t>
  </si>
  <si>
    <t>THIS CODE AND INFORMATION IS PROVIDED "AS IS" WITHOUT WARRANTY OF ANY  KIND, EITHER EXPRESSED OR IMPLIED.</t>
  </si>
  <si>
    <t>File :</t>
  </si>
  <si>
    <t>Date</t>
  </si>
  <si>
    <t>Comment</t>
  </si>
  <si>
    <t>tmc262_calculations.xls</t>
  </si>
  <si>
    <t>September 06, 2010</t>
  </si>
  <si>
    <t>initial version</t>
  </si>
  <si>
    <t>((HSTR + HEND) &gt; HystStart_MIN)</t>
  </si>
  <si>
    <t>HEND = 0 or larger, if HystStart_MIN  &gt; 7</t>
  </si>
  <si>
    <t>Sample Setting HSTR</t>
  </si>
  <si>
    <t>Sample Setting HEND</t>
  </si>
  <si>
    <t>(1...8)</t>
  </si>
  <si>
    <t>(-3...12)</t>
  </si>
  <si>
    <t>Desired Value</t>
  </si>
  <si>
    <t>Register value for CHOPCONF register bits</t>
  </si>
  <si>
    <t>Settings for TMC26x</t>
  </si>
  <si>
    <t>TMC26x Hysteresis Chopper Parameter Setting (spreadCycle chopper)</t>
  </si>
  <si>
    <t>March 07, 2011</t>
  </si>
  <si>
    <t>Hints concerning hysteresis settings (HSTR, HEND) added</t>
  </si>
  <si>
    <t xml:space="preserve">Hint: </t>
  </si>
  <si>
    <t xml:space="preserve">Nominal motor voltage </t>
  </si>
  <si>
    <t>Maximum supply voltage for motor driver (in order to avoid excess heating of the motor by chopping)</t>
  </si>
  <si>
    <t>Umotnom[V] =</t>
  </si>
  <si>
    <t>VM_upper_limit[V] =</t>
  </si>
  <si>
    <t>VM_lower_limit[V] =</t>
  </si>
  <si>
    <t>Minimum supply voltage for motor driver (in order to allow full motor current with microstepping)</t>
  </si>
  <si>
    <t>Derived motor data ( motor specific limits)</t>
  </si>
  <si>
    <t>Prsense[W]=</t>
  </si>
  <si>
    <t>TMC26x MOSFET power disspiation calculator</t>
  </si>
  <si>
    <t>Please enter Values higlighted according your settings</t>
  </si>
  <si>
    <t>The calculation sheet assumes chopping with a 50% duty cycle and use of the standard spread cycle chopper, i.e. the sum of ON-Time and Fast decay time is identical to the selected Toff setting.</t>
  </si>
  <si>
    <t>fCHOP[kHz]=</t>
  </si>
  <si>
    <t>determined by Rsense, CurrentScale (CS), Vsense, this is typically the RMS motor coil current  *1.41</t>
  </si>
  <si>
    <t>Icoil (RMS)[A] :=</t>
  </si>
  <si>
    <t>The RMS current is automatically calculated from the peak coil current, but you may modify it, e.g. for fullstep operation</t>
  </si>
  <si>
    <t>MOSFET data</t>
  </si>
  <si>
    <t>TMC261</t>
  </si>
  <si>
    <t>MOSFET data for 25°C</t>
  </si>
  <si>
    <t>MOSFET Temperature [°C] :=</t>
  </si>
  <si>
    <t>Typical values for usage with these types</t>
  </si>
  <si>
    <t>SLPH[0-3]=</t>
  </si>
  <si>
    <t>SLPL[0-3]=</t>
  </si>
  <si>
    <t>Driver current (from TMC26x Datasheet)</t>
  </si>
  <si>
    <t>ILSon[mA]:=</t>
  </si>
  <si>
    <t>IHSon[mA]:=</t>
  </si>
  <si>
    <t>Slope time rise [ns]=</t>
  </si>
  <si>
    <t>Slope time fall [ns]=</t>
  </si>
  <si>
    <t>0-3:</t>
  </si>
  <si>
    <t>mA</t>
  </si>
  <si>
    <t>2011-Mar-16</t>
  </si>
  <si>
    <t>Power dissipation shett added</t>
  </si>
  <si>
    <t>Resulting MOSFET Power Dissipation</t>
  </si>
  <si>
    <t>P_highside(static)[W]=</t>
  </si>
  <si>
    <t>P_highside(dynamic)[W]=</t>
  </si>
  <si>
    <t>P_highside(sum)[W]=</t>
  </si>
  <si>
    <t>P_lowside(sum)[W]=</t>
  </si>
  <si>
    <t>for complete two fullbridges</t>
  </si>
  <si>
    <t>Dutycycle_HS:=</t>
  </si>
  <si>
    <t>P_lowside(static)[W]=</t>
  </si>
  <si>
    <t>P_lowside(dynamic)[W]=</t>
  </si>
  <si>
    <t>per MOSFET (using RMS current)</t>
  </si>
  <si>
    <t>The duty cycle describes the time of a chopper period, where a high side MOSFET is on: 0.3=30% of the time, 70% slow decay portion)</t>
  </si>
  <si>
    <t>for one fullbridge</t>
  </si>
  <si>
    <t>Pfullbrige[W]=</t>
  </si>
  <si>
    <t>PMOSFETs[W]=</t>
  </si>
  <si>
    <t>Sense resistor [Ohm]:=</t>
  </si>
  <si>
    <t>Use this value to calculate heat up of single P-MOSFET device based on thermal resistance!</t>
  </si>
  <si>
    <t>Use this value to calculate heat up of single N-MOSFET device based on thermal resistance!</t>
  </si>
  <si>
    <t>Use this value to calculate heat up of sense resistor under normal conditions!</t>
  </si>
  <si>
    <t>Use this value to calculate complete power dissipation of the MOSFETs in a driver!</t>
  </si>
  <si>
    <t>TMC262 [with user specific MOSFETs]</t>
  </si>
  <si>
    <t>Power dissipation for one sense resistor</t>
  </si>
  <si>
    <t>TMC26x clock frequency</t>
  </si>
  <si>
    <t>Motor current</t>
  </si>
  <si>
    <t>Chopper parameters</t>
  </si>
  <si>
    <t>25% to 70% duty cycle can be assumed depending on the motor velocity and supply voltage</t>
  </si>
  <si>
    <t>Slope settings for TMC26x</t>
  </si>
  <si>
    <t>Maximum dissipation per MOSFET</t>
  </si>
  <si>
    <t>Maximum dissiptation per MOSFET</t>
  </si>
  <si>
    <t>(take from datasheet or leave default value)</t>
  </si>
  <si>
    <t>P-MOS</t>
  </si>
  <si>
    <t>N-MOS</t>
  </si>
  <si>
    <t>RON_highside[Ohm]:=</t>
  </si>
  <si>
    <t>RON_lowside[Ohm]:=</t>
  </si>
  <si>
    <t>RON_lowside_th[Ohm]=</t>
  </si>
  <si>
    <t>RON_highside_th[Ohm]=</t>
  </si>
  <si>
    <t>tRR_lowside [ns]:=</t>
  </si>
  <si>
    <t>tRR_highside [ns]:=</t>
  </si>
  <si>
    <t>Reverse recovery time tRR of body diode</t>
  </si>
  <si>
    <t>The reverse recovery time adds power dissipation to the complementary MOSFET, however, the impact is low</t>
  </si>
  <si>
    <t>Assume maximum die temperature in your application within the device limits</t>
  </si>
  <si>
    <t>Driver supply voltage</t>
  </si>
  <si>
    <t>TMC262: Example values for FDD8424H</t>
  </si>
  <si>
    <t>you may want to use worst case values</t>
  </si>
  <si>
    <t>The chopper frequency depends on the toff setting and on the duty cycle, which is determined by many factors</t>
  </si>
  <si>
    <t>Please enter Values higlighted according to your settings</t>
  </si>
  <si>
    <t>TMC260</t>
  </si>
  <si>
    <t>2011-MAR-28</t>
  </si>
  <si>
    <t>Corrected missing squares for currents in static power dissipation</t>
  </si>
  <si>
    <t>Automatic calculation of sense resistor (based on CS and Icoil Peak)</t>
  </si>
  <si>
    <t>Ohm</t>
  </si>
  <si>
    <t>Trimming the current scale setting CS will allow to find a value near an existing resistor value</t>
  </si>
  <si>
    <t>Icoil (RMS)[A] =</t>
  </si>
  <si>
    <r>
      <rPr>
        <b/>
        <sz val="11"/>
        <color indexed="8"/>
        <rFont val="Calibri"/>
        <family val="2"/>
      </rPr>
      <t>Rsense</t>
    </r>
    <r>
      <rPr>
        <sz val="11"/>
        <color theme="1"/>
        <rFont val="Calibri"/>
        <family val="2"/>
      </rPr>
      <t xml:space="preserve"> using VSENSE=0</t>
    </r>
  </si>
  <si>
    <r>
      <rPr>
        <b/>
        <sz val="11"/>
        <color indexed="8"/>
        <rFont val="Calibri"/>
        <family val="2"/>
      </rPr>
      <t>Rsense</t>
    </r>
    <r>
      <rPr>
        <sz val="11"/>
        <color theme="1"/>
        <rFont val="Calibri"/>
        <family val="2"/>
      </rPr>
      <t xml:space="preserve"> using VSENSE=1</t>
    </r>
  </si>
  <si>
    <t>15/15/29/42</t>
  </si>
  <si>
    <t>12/12/23/34</t>
  </si>
  <si>
    <t>QGS_highside [nC]:=</t>
  </si>
  <si>
    <t>QGS_lowside [nC]:=</t>
  </si>
  <si>
    <t>2012-FEB-29</t>
  </si>
  <si>
    <t>Revised dynamic dissipation calculation based on Qgs and Qgd rather than on Qg, and revised tRR effect</t>
  </si>
  <si>
    <t>QGD_lowside (Miller) [nC]:=</t>
  </si>
  <si>
    <t>QGD_highside (Miller) [nC]:=</t>
  </si>
  <si>
    <t>Gate drain capacity</t>
  </si>
  <si>
    <t>Gate souce capacity (low side)</t>
  </si>
  <si>
    <t>Gate source capacity (high side)</t>
  </si>
  <si>
    <t>2018-FEB-22</t>
  </si>
  <si>
    <t>Corrected formula for TOFF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</si>
</sst>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0"/>
    <numFmt numFmtId="17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/>
    </xf>
    <xf numFmtId="0" fontId="28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12" borderId="0" xfId="0" applyFill="1" applyAlignment="1">
      <alignment/>
    </xf>
    <xf numFmtId="0" fontId="28" fillId="0" borderId="0" xfId="0" applyFont="1" applyAlignment="1">
      <alignment horizontal="right"/>
    </xf>
    <xf numFmtId="1" fontId="20" fillId="0" borderId="0" xfId="0" applyNumberFormat="1" applyFont="1" applyAlignment="1">
      <alignment/>
    </xf>
    <xf numFmtId="172" fontId="0" fillId="33" borderId="0" xfId="0" applyNumberFormat="1" applyFill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2" fontId="3" fillId="0" borderId="0" xfId="0" applyNumberFormat="1" applyFont="1" applyAlignment="1">
      <alignment/>
    </xf>
    <xf numFmtId="0" fontId="40" fillId="34" borderId="0" xfId="0" applyFont="1" applyFill="1" applyAlignment="1">
      <alignment/>
    </xf>
    <xf numFmtId="2" fontId="0" fillId="12" borderId="0" xfId="0" applyNumberFormat="1" applyFill="1" applyAlignment="1">
      <alignment/>
    </xf>
    <xf numFmtId="0" fontId="23" fillId="35" borderId="0" xfId="0" applyFont="1" applyFill="1" applyAlignment="1">
      <alignment/>
    </xf>
    <xf numFmtId="0" fontId="0" fillId="0" borderId="0" xfId="0" applyFont="1" applyAlignment="1">
      <alignment horizontal="right"/>
    </xf>
    <xf numFmtId="1" fontId="23" fillId="33" borderId="0" xfId="0" applyNumberFormat="1" applyFont="1" applyFill="1" applyAlignment="1">
      <alignment/>
    </xf>
    <xf numFmtId="174" fontId="0" fillId="0" borderId="0" xfId="0" applyNumberFormat="1" applyAlignment="1">
      <alignment/>
    </xf>
    <xf numFmtId="174" fontId="0" fillId="35" borderId="0" xfId="0" applyNumberFormat="1" applyFill="1" applyAlignment="1">
      <alignment/>
    </xf>
    <xf numFmtId="17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28" fillId="0" borderId="0" xfId="0" applyFont="1" applyAlignment="1">
      <alignment/>
    </xf>
    <xf numFmtId="0" fontId="23" fillId="0" borderId="0" xfId="0" applyFont="1" applyFill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2" fontId="28" fillId="0" borderId="0" xfId="0" applyNumberFormat="1" applyFont="1" applyAlignment="1">
      <alignment/>
    </xf>
    <xf numFmtId="0" fontId="38" fillId="0" borderId="0" xfId="0" applyFont="1" applyAlignment="1">
      <alignment/>
    </xf>
    <xf numFmtId="49" fontId="0" fillId="0" borderId="0" xfId="0" applyNumberFormat="1" applyAlignment="1">
      <alignment wrapText="1"/>
    </xf>
    <xf numFmtId="0" fontId="28" fillId="36" borderId="0" xfId="0" applyFont="1" applyFill="1" applyAlignment="1">
      <alignment/>
    </xf>
    <xf numFmtId="0" fontId="0" fillId="36" borderId="0" xfId="0" applyFill="1" applyAlignment="1">
      <alignment/>
    </xf>
    <xf numFmtId="1" fontId="0" fillId="35" borderId="0" xfId="0" applyNumberFormat="1" applyFill="1" applyAlignment="1">
      <alignment/>
    </xf>
    <xf numFmtId="173" fontId="23" fillId="35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173" fontId="0" fillId="34" borderId="0" xfId="0" applyNumberForma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4"/>
  <sheetViews>
    <sheetView zoomScalePageLayoutView="0" workbookViewId="0" topLeftCell="A1">
      <selection activeCell="C18" sqref="C18"/>
    </sheetView>
  </sheetViews>
  <sheetFormatPr defaultColWidth="11.421875" defaultRowHeight="15"/>
  <cols>
    <col min="2" max="2" width="22.8515625" style="1" customWidth="1"/>
    <col min="4" max="4" width="5.57421875" style="0" customWidth="1"/>
    <col min="5" max="5" width="14.421875" style="0" customWidth="1"/>
  </cols>
  <sheetData>
    <row r="2" ht="14.25">
      <c r="B2" s="10" t="s">
        <v>18</v>
      </c>
    </row>
    <row r="4" ht="14.25">
      <c r="B4" s="3" t="s">
        <v>34</v>
      </c>
    </row>
    <row r="6" spans="2:5" ht="14.25">
      <c r="B6" s="1" t="s">
        <v>3</v>
      </c>
      <c r="C6" s="4">
        <v>16</v>
      </c>
      <c r="E6" s="20" t="s">
        <v>47</v>
      </c>
    </row>
    <row r="7" spans="2:3" ht="14.25">
      <c r="B7" s="1" t="s">
        <v>4</v>
      </c>
      <c r="C7">
        <f>1/(1000000*C6)</f>
        <v>6.25E-08</v>
      </c>
    </row>
    <row r="9" spans="2:3" ht="14.25">
      <c r="B9" s="1" t="s">
        <v>0</v>
      </c>
      <c r="C9" s="4">
        <v>24</v>
      </c>
    </row>
    <row r="10" spans="2:3" ht="14.25">
      <c r="B10" s="1" t="s">
        <v>5</v>
      </c>
      <c r="C10" s="4">
        <v>2</v>
      </c>
    </row>
    <row r="11" spans="2:5" ht="14.25">
      <c r="B11" s="1" t="s">
        <v>6</v>
      </c>
      <c r="C11" s="2">
        <f>C7*16*(1.5^C10)</f>
        <v>2.25E-06</v>
      </c>
      <c r="E11" t="s">
        <v>13</v>
      </c>
    </row>
    <row r="12" spans="2:4" ht="14.25">
      <c r="B12" s="1" t="s">
        <v>16</v>
      </c>
      <c r="C12" s="8">
        <v>0.0075</v>
      </c>
      <c r="D12" s="2"/>
    </row>
    <row r="14" spans="2:3" ht="14.25">
      <c r="B14" s="1" t="s">
        <v>1</v>
      </c>
      <c r="C14" s="5">
        <v>4.5</v>
      </c>
    </row>
    <row r="15" spans="2:5" ht="14.25">
      <c r="B15" s="1" t="s">
        <v>17</v>
      </c>
      <c r="C15" s="5">
        <v>1.41</v>
      </c>
      <c r="E15" t="s">
        <v>11</v>
      </c>
    </row>
    <row r="16" spans="2:3" ht="14.25">
      <c r="B16" s="1" t="s">
        <v>120</v>
      </c>
      <c r="C16" s="43">
        <f>C15/SQRT(2)</f>
        <v>0.9970205614730319</v>
      </c>
    </row>
    <row r="17" spans="2:3" ht="14.25">
      <c r="B17" s="1" t="s">
        <v>14</v>
      </c>
      <c r="C17" s="4">
        <v>4</v>
      </c>
    </row>
    <row r="18" spans="2:3" ht="14.25">
      <c r="B18" s="1" t="s">
        <v>15</v>
      </c>
      <c r="C18">
        <f>(24+32*C17)*C7</f>
        <v>9.499999999999999E-06</v>
      </c>
    </row>
    <row r="20" spans="2:3" ht="14.25">
      <c r="B20" s="1" t="s">
        <v>9</v>
      </c>
      <c r="C20" s="9">
        <f>C9*C11/C12</f>
        <v>0.0072</v>
      </c>
    </row>
    <row r="21" spans="2:3" ht="14.25">
      <c r="B21" s="1" t="s">
        <v>10</v>
      </c>
      <c r="C21" s="9">
        <f>C14*C15*2*C18/C12</f>
        <v>0.016073999999999998</v>
      </c>
    </row>
    <row r="23" spans="2:5" ht="14.25">
      <c r="B23" s="1" t="s">
        <v>7</v>
      </c>
      <c r="C23" s="4">
        <v>31</v>
      </c>
      <c r="E23" t="s">
        <v>8</v>
      </c>
    </row>
    <row r="24" ht="14.25">
      <c r="C24" s="16" t="str">
        <f>IF(C23&lt;16,"Current scaler is quite small - values above 16 are best for good microstepping","OK")</f>
        <v>OK</v>
      </c>
    </row>
    <row r="25" spans="2:10" ht="14.25">
      <c r="B25" s="6" t="s">
        <v>2</v>
      </c>
      <c r="C25" s="7">
        <f>0.5+(C20+C21)*2*248*(C23+1)/C15/32</f>
        <v>8.687165957446807</v>
      </c>
      <c r="E25" t="s">
        <v>12</v>
      </c>
      <c r="J25" t="s">
        <v>25</v>
      </c>
    </row>
    <row r="26" ht="14.25">
      <c r="J26" t="s">
        <v>26</v>
      </c>
    </row>
    <row r="28" spans="2:6" ht="14.25">
      <c r="B28" s="6" t="s">
        <v>33</v>
      </c>
      <c r="C28" s="15" t="s">
        <v>31</v>
      </c>
      <c r="F28" s="15" t="s">
        <v>32</v>
      </c>
    </row>
    <row r="29" spans="2:6" ht="14.25">
      <c r="B29" s="1" t="s">
        <v>27</v>
      </c>
      <c r="C29" s="14">
        <f>MIN(C25,8)</f>
        <v>8</v>
      </c>
      <c r="E29" t="s">
        <v>29</v>
      </c>
      <c r="F29" s="14">
        <f>C29-1</f>
        <v>7</v>
      </c>
    </row>
    <row r="30" spans="2:6" ht="14.25">
      <c r="B30" s="1" t="s">
        <v>28</v>
      </c>
      <c r="C30" s="14">
        <f>MIN(C25-C29,12)</f>
        <v>0.6871659574468065</v>
      </c>
      <c r="E30" t="s">
        <v>30</v>
      </c>
      <c r="F30" s="14">
        <f>C30+3</f>
        <v>3.6871659574468065</v>
      </c>
    </row>
    <row r="32" spans="2:3" ht="14.25">
      <c r="B32" s="1" t="s">
        <v>37</v>
      </c>
      <c r="C32" s="16" t="str">
        <f>IF(C25&gt;20,"Attention: Motor requires very high Hysteresis setting  - try with reduced setting, reduce tBLANK, reduce sense resistor valule, increase fCLK, decrease VM or use classic const_toff_chopper mode",IF(C25&gt;15,"Attention: Result is large, use with CS reduced to maximum 30, or try smaller value of 16","OK"))</f>
        <v>OK</v>
      </c>
    </row>
    <row r="35" ht="14.25">
      <c r="B35" s="3" t="s">
        <v>44</v>
      </c>
    </row>
    <row r="36" spans="2:5" ht="14.25">
      <c r="B36" s="1" t="s">
        <v>40</v>
      </c>
      <c r="C36" s="17">
        <f>C14*C15/SQRT(2)</f>
        <v>4.486592526628644</v>
      </c>
      <c r="E36" t="s">
        <v>38</v>
      </c>
    </row>
    <row r="37" spans="2:5" ht="14.25">
      <c r="B37" s="1" t="s">
        <v>41</v>
      </c>
      <c r="C37" s="14">
        <f>20*C36</f>
        <v>89.73185053257288</v>
      </c>
      <c r="E37" s="18" t="s">
        <v>39</v>
      </c>
    </row>
    <row r="38" spans="2:5" ht="14.25">
      <c r="B38" s="1" t="s">
        <v>42</v>
      </c>
      <c r="C38" s="14">
        <f>C36*2</f>
        <v>8.973185053257287</v>
      </c>
      <c r="E38" t="s">
        <v>43</v>
      </c>
    </row>
    <row r="40" ht="14.25">
      <c r="B40"/>
    </row>
    <row r="41" ht="14.25">
      <c r="B41"/>
    </row>
    <row r="42" ht="14.25">
      <c r="B42" s="30" t="s">
        <v>117</v>
      </c>
    </row>
    <row r="43" spans="2:5" ht="14.25">
      <c r="B43" t="s">
        <v>121</v>
      </c>
      <c r="C43" s="9">
        <f>(C23+1)/32/C15*0.31</f>
        <v>0.2198581560283688</v>
      </c>
      <c r="D43" t="s">
        <v>118</v>
      </c>
      <c r="E43" t="s">
        <v>119</v>
      </c>
    </row>
    <row r="44" spans="2:4" ht="14.25">
      <c r="B44" t="s">
        <v>122</v>
      </c>
      <c r="C44" s="9">
        <f>(C23+1)/32/C15*0.165</f>
        <v>0.1170212765957447</v>
      </c>
      <c r="D44" t="s">
        <v>118</v>
      </c>
    </row>
  </sheetData>
  <sheetProtection/>
  <conditionalFormatting sqref="C37">
    <cfRule type="cellIs" priority="2" dxfId="2" operator="lessThan" stopIfTrue="1">
      <formula>$C$9</formula>
    </cfRule>
  </conditionalFormatting>
  <conditionalFormatting sqref="C38">
    <cfRule type="cellIs" priority="1" dxfId="2" operator="greaterThan" stopIfTrue="1">
      <formula>$C$9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C52" sqref="C52"/>
    </sheetView>
  </sheetViews>
  <sheetFormatPr defaultColWidth="11.421875" defaultRowHeight="15"/>
  <cols>
    <col min="1" max="1" width="39.8515625" style="0" customWidth="1"/>
    <col min="2" max="2" width="23.140625" style="0" customWidth="1"/>
    <col min="3" max="3" width="16.8515625" style="0" customWidth="1"/>
    <col min="4" max="4" width="17.421875" style="0" customWidth="1"/>
    <col min="5" max="5" width="17.140625" style="0" customWidth="1"/>
  </cols>
  <sheetData>
    <row r="1" ht="14.25">
      <c r="B1" s="3" t="s">
        <v>46</v>
      </c>
    </row>
    <row r="2" ht="14.25">
      <c r="B2" s="18" t="s">
        <v>48</v>
      </c>
    </row>
    <row r="3" ht="14.25">
      <c r="B3" s="1"/>
    </row>
    <row r="4" spans="1:8" ht="14.25">
      <c r="A4" s="30" t="s">
        <v>90</v>
      </c>
      <c r="B4" s="1" t="s">
        <v>3</v>
      </c>
      <c r="C4" s="4">
        <v>16</v>
      </c>
      <c r="E4" s="42" t="s">
        <v>113</v>
      </c>
      <c r="F4" s="4"/>
      <c r="G4" s="4"/>
      <c r="H4" s="4"/>
    </row>
    <row r="5" spans="2:3" ht="14.25">
      <c r="B5" s="1" t="s">
        <v>4</v>
      </c>
      <c r="C5">
        <f>1/(1000000*C4)</f>
        <v>6.25E-08</v>
      </c>
    </row>
    <row r="6" ht="14.25">
      <c r="B6" s="1"/>
    </row>
    <row r="7" spans="1:3" ht="14.25">
      <c r="A7" s="30" t="s">
        <v>109</v>
      </c>
      <c r="B7" s="1" t="s">
        <v>0</v>
      </c>
      <c r="C7" s="4">
        <v>24</v>
      </c>
    </row>
    <row r="8" ht="14.25">
      <c r="B8" s="1"/>
    </row>
    <row r="9" spans="1:5" ht="14.25">
      <c r="A9" s="30" t="s">
        <v>91</v>
      </c>
      <c r="B9" s="1" t="s">
        <v>17</v>
      </c>
      <c r="C9" s="5">
        <v>2</v>
      </c>
      <c r="E9" t="s">
        <v>50</v>
      </c>
    </row>
    <row r="10" spans="2:5" ht="14.25">
      <c r="B10" s="1" t="s">
        <v>51</v>
      </c>
      <c r="C10" s="21">
        <f>C9/SQRT(2)</f>
        <v>1.414213562373095</v>
      </c>
      <c r="E10" t="s">
        <v>52</v>
      </c>
    </row>
    <row r="11" spans="2:3" ht="14.25">
      <c r="B11" s="1"/>
      <c r="C11" s="33"/>
    </row>
    <row r="12" spans="1:3" ht="14.25">
      <c r="A12" s="30" t="s">
        <v>92</v>
      </c>
      <c r="B12" s="1" t="s">
        <v>14</v>
      </c>
      <c r="C12" s="4">
        <v>5</v>
      </c>
    </row>
    <row r="13" spans="2:3" ht="14.25">
      <c r="B13" s="1" t="s">
        <v>15</v>
      </c>
      <c r="C13">
        <f>(12+32*C12)*C5</f>
        <v>1.0749999999999999E-05</v>
      </c>
    </row>
    <row r="14" spans="2:5" ht="14.25">
      <c r="B14" s="1" t="s">
        <v>49</v>
      </c>
      <c r="C14" s="17">
        <f>1/((2+4*C15)*C13)/1000</f>
        <v>23.255813953488374</v>
      </c>
      <c r="E14" t="s">
        <v>112</v>
      </c>
    </row>
    <row r="15" spans="1:5" ht="42.75">
      <c r="A15" s="37" t="s">
        <v>93</v>
      </c>
      <c r="B15" s="1" t="s">
        <v>75</v>
      </c>
      <c r="C15" s="32">
        <v>0.5</v>
      </c>
      <c r="E15" t="s">
        <v>79</v>
      </c>
    </row>
    <row r="16" spans="2:3" ht="14.25">
      <c r="B16" s="1"/>
      <c r="C16" s="33"/>
    </row>
    <row r="17" spans="1:5" ht="14.25">
      <c r="A17" s="30" t="s">
        <v>53</v>
      </c>
      <c r="B17" s="1"/>
      <c r="C17" s="30" t="s">
        <v>114</v>
      </c>
      <c r="D17" s="30" t="s">
        <v>54</v>
      </c>
      <c r="E17" s="30" t="s">
        <v>88</v>
      </c>
    </row>
    <row r="18" spans="1:9" ht="14.25">
      <c r="A18" t="s">
        <v>55</v>
      </c>
      <c r="B18" s="1" t="s">
        <v>100</v>
      </c>
      <c r="C18">
        <v>0.19</v>
      </c>
      <c r="D18">
        <v>0.2</v>
      </c>
      <c r="E18" s="22">
        <v>0.045</v>
      </c>
      <c r="F18" t="s">
        <v>110</v>
      </c>
      <c r="I18" t="s">
        <v>98</v>
      </c>
    </row>
    <row r="19" spans="1:9" ht="14.25">
      <c r="A19" s="15" t="s">
        <v>111</v>
      </c>
      <c r="B19" s="1" t="s">
        <v>101</v>
      </c>
      <c r="C19">
        <v>0.125</v>
      </c>
      <c r="D19">
        <v>0.1</v>
      </c>
      <c r="E19" s="22">
        <v>0.025</v>
      </c>
      <c r="I19" t="s">
        <v>99</v>
      </c>
    </row>
    <row r="20" spans="2:5" ht="14.25">
      <c r="B20" s="1"/>
      <c r="E20" s="31"/>
    </row>
    <row r="21" spans="2:7" ht="14.25">
      <c r="B21" s="23" t="s">
        <v>56</v>
      </c>
      <c r="C21" s="24">
        <v>70</v>
      </c>
      <c r="D21" s="4">
        <v>70</v>
      </c>
      <c r="E21" s="4">
        <v>70</v>
      </c>
      <c r="G21" t="s">
        <v>108</v>
      </c>
    </row>
    <row r="22" spans="2:5" ht="14.25">
      <c r="B22" s="1" t="s">
        <v>103</v>
      </c>
      <c r="C22" s="17">
        <f>C18*(1+(0.55*(C21-25)/100))</f>
        <v>0.237025</v>
      </c>
      <c r="D22" s="17">
        <f>D18*(1+(0.55*(D21-25)/100))</f>
        <v>0.24950000000000003</v>
      </c>
      <c r="E22" s="9">
        <f>E18*(1+(0.7*(E21-25)/100))</f>
        <v>0.059175</v>
      </c>
    </row>
    <row r="23" spans="2:5" ht="14.25">
      <c r="B23" s="1" t="s">
        <v>102</v>
      </c>
      <c r="C23" s="17">
        <f>C19*(1+(0.55*(C21-25)/100))</f>
        <v>0.1559375</v>
      </c>
      <c r="D23" s="17">
        <f>D19*(1+(0.55*(D21-25)/100))</f>
        <v>0.12475000000000001</v>
      </c>
      <c r="E23" s="9">
        <f>E19*(1+(0.7*(E21-25)/100))</f>
        <v>0.032875</v>
      </c>
    </row>
    <row r="24" spans="2:5" ht="14.25">
      <c r="B24" s="23"/>
      <c r="C24" s="17"/>
      <c r="D24" s="17"/>
      <c r="E24" s="9"/>
    </row>
    <row r="25" spans="1:6" ht="14.25">
      <c r="A25" t="s">
        <v>133</v>
      </c>
      <c r="B25" s="1" t="s">
        <v>125</v>
      </c>
      <c r="C25" s="25">
        <v>0.8</v>
      </c>
      <c r="D25" s="25">
        <v>1.3</v>
      </c>
      <c r="E25" s="26">
        <v>3</v>
      </c>
      <c r="F25" t="s">
        <v>110</v>
      </c>
    </row>
    <row r="26" spans="1:5" ht="14.25">
      <c r="A26" t="s">
        <v>131</v>
      </c>
      <c r="B26" s="1" t="s">
        <v>130</v>
      </c>
      <c r="C26" s="25">
        <v>1.1</v>
      </c>
      <c r="D26" s="25">
        <v>2.5</v>
      </c>
      <c r="E26" s="26">
        <v>3.6</v>
      </c>
    </row>
    <row r="27" spans="1:5" ht="14.25">
      <c r="A27" t="s">
        <v>132</v>
      </c>
      <c r="B27" s="1" t="s">
        <v>126</v>
      </c>
      <c r="C27" s="25">
        <v>1</v>
      </c>
      <c r="D27" s="25">
        <v>1.1</v>
      </c>
      <c r="E27" s="26">
        <v>2.3</v>
      </c>
    </row>
    <row r="28" spans="1:5" ht="14.25">
      <c r="A28" t="s">
        <v>131</v>
      </c>
      <c r="B28" s="1" t="s">
        <v>129</v>
      </c>
      <c r="C28" s="25">
        <v>0.9</v>
      </c>
      <c r="D28" s="25">
        <v>0.95</v>
      </c>
      <c r="E28" s="26">
        <v>3.2</v>
      </c>
    </row>
    <row r="29" spans="2:5" ht="14.25">
      <c r="B29" s="1"/>
      <c r="C29" s="25"/>
      <c r="D29" s="25"/>
      <c r="E29" s="27"/>
    </row>
    <row r="30" spans="1:7" ht="14.25">
      <c r="A30" t="s">
        <v>106</v>
      </c>
      <c r="B30" s="1" t="s">
        <v>105</v>
      </c>
      <c r="C30" s="14">
        <v>14</v>
      </c>
      <c r="D30" s="14">
        <v>28</v>
      </c>
      <c r="E30" s="40">
        <v>29</v>
      </c>
      <c r="G30" t="s">
        <v>107</v>
      </c>
    </row>
    <row r="31" spans="1:5" ht="14.25">
      <c r="A31" t="s">
        <v>97</v>
      </c>
      <c r="B31" s="1" t="s">
        <v>104</v>
      </c>
      <c r="C31" s="14">
        <v>3</v>
      </c>
      <c r="D31" s="14">
        <v>25</v>
      </c>
      <c r="E31" s="40">
        <v>25</v>
      </c>
    </row>
    <row r="32" spans="2:5" ht="14.25">
      <c r="B32" s="1"/>
      <c r="C32" s="25"/>
      <c r="D32" s="25"/>
      <c r="E32" s="27"/>
    </row>
    <row r="33" spans="1:6" ht="14.25">
      <c r="A33" s="30" t="s">
        <v>94</v>
      </c>
      <c r="B33" s="1" t="s">
        <v>58</v>
      </c>
      <c r="C33" s="14">
        <v>1</v>
      </c>
      <c r="D33" s="14">
        <v>2</v>
      </c>
      <c r="E33" s="28">
        <v>3</v>
      </c>
      <c r="F33" t="s">
        <v>57</v>
      </c>
    </row>
    <row r="34" spans="2:6" ht="14.25">
      <c r="B34" s="1" t="s">
        <v>59</v>
      </c>
      <c r="C34" s="14">
        <v>1</v>
      </c>
      <c r="D34" s="14">
        <v>1</v>
      </c>
      <c r="E34" s="28">
        <v>3</v>
      </c>
      <c r="F34" t="s">
        <v>57</v>
      </c>
    </row>
    <row r="35" spans="1:8" ht="14.25">
      <c r="A35" t="s">
        <v>60</v>
      </c>
      <c r="B35" s="1" t="s">
        <v>62</v>
      </c>
      <c r="C35" s="14">
        <v>15</v>
      </c>
      <c r="D35" s="14">
        <v>29</v>
      </c>
      <c r="E35" s="29">
        <v>42</v>
      </c>
      <c r="F35" s="1" t="s">
        <v>65</v>
      </c>
      <c r="G35" t="s">
        <v>123</v>
      </c>
      <c r="H35" t="s">
        <v>66</v>
      </c>
    </row>
    <row r="36" spans="2:8" ht="14.25">
      <c r="B36" s="1" t="s">
        <v>61</v>
      </c>
      <c r="C36" s="14">
        <v>12</v>
      </c>
      <c r="D36" s="14">
        <v>12</v>
      </c>
      <c r="E36" s="29">
        <v>34</v>
      </c>
      <c r="F36" s="1" t="s">
        <v>65</v>
      </c>
      <c r="G36" t="s">
        <v>124</v>
      </c>
      <c r="H36" t="s">
        <v>66</v>
      </c>
    </row>
    <row r="38" spans="2:5" ht="14.25">
      <c r="B38" s="1" t="s">
        <v>63</v>
      </c>
      <c r="C38" s="14">
        <f>1000*(C25/2+C26)/C35</f>
        <v>100</v>
      </c>
      <c r="D38" s="14">
        <f>1000*(D25/2+D26)/D35</f>
        <v>108.62068965517241</v>
      </c>
      <c r="E38" s="14">
        <f>1000*(E25/2+E26)/E35</f>
        <v>121.42857142857143</v>
      </c>
    </row>
    <row r="39" spans="2:5" ht="14.25">
      <c r="B39" s="1" t="s">
        <v>64</v>
      </c>
      <c r="C39" s="14">
        <f>1000*(C27/2+C28)/C36</f>
        <v>116.66666666666667</v>
      </c>
      <c r="D39" s="14">
        <f>1000*(D27/2+D28)/D36</f>
        <v>125</v>
      </c>
      <c r="E39" s="14">
        <f>1000*(E27/2+E28)/E36</f>
        <v>127.94117647058823</v>
      </c>
    </row>
    <row r="40" spans="2:5" ht="14.25">
      <c r="B40" s="1"/>
      <c r="C40" s="14"/>
      <c r="D40" s="14"/>
      <c r="E40" s="14"/>
    </row>
    <row r="41" spans="1:5" ht="14.25">
      <c r="A41" s="38" t="s">
        <v>69</v>
      </c>
      <c r="B41" s="1" t="s">
        <v>70</v>
      </c>
      <c r="C41" s="17">
        <f>C22*($C$10^2)*$C$15</f>
        <v>0.23702499999999996</v>
      </c>
      <c r="D41" s="17">
        <f>D22*($C$10^2)*$C$15</f>
        <v>0.24949999999999997</v>
      </c>
      <c r="E41" s="17">
        <f>E22*($C$10^2)*$C$15</f>
        <v>0.059174999999999985</v>
      </c>
    </row>
    <row r="42" spans="1:5" ht="14.25">
      <c r="A42" s="30" t="s">
        <v>78</v>
      </c>
      <c r="B42" s="1" t="s">
        <v>71</v>
      </c>
      <c r="C42" s="9">
        <f>$C$14*1000*((C38+C31)/1000000000)*$C$7*$C$10*2/2</f>
        <v>0.08130083549270445</v>
      </c>
      <c r="D42" s="9">
        <f>$C$14*1000*((D38+D31)/1000000000)*$C$7*$C$10*2/2</f>
        <v>0.10547061852501831</v>
      </c>
      <c r="E42" s="9">
        <f>$C$14*1000*((E38+E31)/1000000000)*$C$7*$C$10*2/2</f>
        <v>0.11558024463248551</v>
      </c>
    </row>
    <row r="43" spans="1:7" ht="14.25">
      <c r="A43" s="39" t="s">
        <v>95</v>
      </c>
      <c r="B43" s="6" t="s">
        <v>72</v>
      </c>
      <c r="C43" s="35">
        <f>C41+C42</f>
        <v>0.31832583549270443</v>
      </c>
      <c r="D43" s="35">
        <f>D41+D42</f>
        <v>0.35497061852501827</v>
      </c>
      <c r="E43" s="35">
        <f>E41+E42</f>
        <v>0.17475524463248548</v>
      </c>
      <c r="G43" s="36" t="s">
        <v>84</v>
      </c>
    </row>
    <row r="44" spans="2:5" ht="14.25">
      <c r="B44" s="1" t="s">
        <v>76</v>
      </c>
      <c r="C44" s="17">
        <f>(1-$C$15+0.5*$C$15)*($C$10^2)*C23</f>
        <v>0.23390624999999995</v>
      </c>
      <c r="D44" s="17">
        <f>(1-$C$15+0.5*$C$15)*($C$10^2)*D23</f>
        <v>0.18712499999999996</v>
      </c>
      <c r="E44" s="17">
        <f>(1-$C$15+0.5*$C$15)*($C$10^2)*E23</f>
        <v>0.04931249999999999</v>
      </c>
    </row>
    <row r="45" spans="2:5" ht="14.25">
      <c r="B45" s="1" t="s">
        <v>77</v>
      </c>
      <c r="C45" s="9">
        <f>$C$14*1000*((C39+C30)/1000000000)*$C$7*$C$10*2/2</f>
        <v>0.10313892399074481</v>
      </c>
      <c r="D45" s="9">
        <f>$C$14*1000*((D39+D30)/1000000000)*$C$7*$C$10*2/2</f>
        <v>0.1207672604891629</v>
      </c>
      <c r="E45" s="9">
        <f>$C$14*1000*((E39+E30)/1000000000)*$C$7*$C$10*2/2</f>
        <v>0.12387814340064845</v>
      </c>
    </row>
    <row r="46" spans="1:7" ht="14.25">
      <c r="A46" s="39" t="s">
        <v>96</v>
      </c>
      <c r="B46" s="6" t="s">
        <v>73</v>
      </c>
      <c r="C46" s="35">
        <f>C44+C45</f>
        <v>0.33704517399074474</v>
      </c>
      <c r="D46" s="35">
        <f>D44+D45</f>
        <v>0.30789226048916285</v>
      </c>
      <c r="E46" s="35">
        <f>E44+E45</f>
        <v>0.17319064340064844</v>
      </c>
      <c r="G46" s="36" t="s">
        <v>85</v>
      </c>
    </row>
    <row r="47" spans="1:5" ht="14.25">
      <c r="A47" s="34"/>
      <c r="B47" s="6"/>
      <c r="C47" s="17"/>
      <c r="D47" s="17"/>
      <c r="E47" s="17"/>
    </row>
    <row r="48" spans="1:5" ht="14.25">
      <c r="A48" t="s">
        <v>80</v>
      </c>
      <c r="B48" s="1" t="s">
        <v>81</v>
      </c>
      <c r="C48" s="17">
        <f>2*C44+C45+2*C41+C42</f>
        <v>1.126302259483449</v>
      </c>
      <c r="D48" s="17">
        <f>2*D44+D45+2*D41+D42</f>
        <v>1.099487879014181</v>
      </c>
      <c r="E48" s="17">
        <f>2*E44+E45+2*E41+E42</f>
        <v>0.4564333880331339</v>
      </c>
    </row>
    <row r="49" spans="1:7" ht="14.25">
      <c r="A49" s="38" t="s">
        <v>74</v>
      </c>
      <c r="B49" s="6" t="s">
        <v>82</v>
      </c>
      <c r="C49" s="35">
        <f>2*C48</f>
        <v>2.252604518966898</v>
      </c>
      <c r="D49" s="35">
        <f>2*D48</f>
        <v>2.198975758028362</v>
      </c>
      <c r="E49" s="35">
        <f>2*E48</f>
        <v>0.9128667760662678</v>
      </c>
      <c r="G49" s="36" t="s">
        <v>87</v>
      </c>
    </row>
    <row r="51" spans="1:3" ht="14.25">
      <c r="A51" s="38" t="s">
        <v>89</v>
      </c>
      <c r="B51" s="1" t="s">
        <v>83</v>
      </c>
      <c r="C51" s="41">
        <v>0.1</v>
      </c>
    </row>
    <row r="52" spans="2:7" ht="14.25">
      <c r="B52" s="6" t="s">
        <v>45</v>
      </c>
      <c r="C52" s="35">
        <f>C51*C10*C10*C15</f>
        <v>0.09999999999999999</v>
      </c>
      <c r="G52" s="36" t="s">
        <v>86</v>
      </c>
    </row>
    <row r="56" ht="14.25">
      <c r="A56" s="12"/>
    </row>
    <row r="57" ht="14.25">
      <c r="A57" s="12"/>
    </row>
    <row r="58" ht="14.25">
      <c r="A58" s="12"/>
    </row>
    <row r="59" ht="14.25">
      <c r="A59" s="12"/>
    </row>
    <row r="61" spans="1:2" ht="14.25">
      <c r="A61" s="12"/>
      <c r="B61" s="17"/>
    </row>
    <row r="62" spans="1:2" ht="14.25">
      <c r="A62" s="12"/>
      <c r="B62" s="17"/>
    </row>
    <row r="63" spans="1:2" ht="14.25">
      <c r="A63" s="12"/>
      <c r="B63" s="19"/>
    </row>
    <row r="64" spans="1:2" ht="14.25">
      <c r="A64" s="12"/>
      <c r="B64" s="17"/>
    </row>
    <row r="65" spans="1:2" ht="14.25">
      <c r="A65" s="12"/>
      <c r="B65" s="17"/>
    </row>
    <row r="66" spans="1:2" ht="14.25">
      <c r="A66" s="12"/>
      <c r="B66" s="17"/>
    </row>
    <row r="67" spans="1:2" ht="14.25">
      <c r="A67" s="12"/>
      <c r="B67" s="17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D1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8515625" style="0" customWidth="1"/>
    <col min="3" max="3" width="22.57421875" style="0" bestFit="1" customWidth="1"/>
    <col min="4" max="4" width="80.421875" style="0" customWidth="1"/>
  </cols>
  <sheetData>
    <row r="4" spans="2:3" ht="14.25">
      <c r="B4" s="11" t="s">
        <v>19</v>
      </c>
      <c r="C4" s="12" t="s">
        <v>22</v>
      </c>
    </row>
    <row r="6" spans="3:4" ht="14.25">
      <c r="C6" s="11" t="s">
        <v>20</v>
      </c>
      <c r="D6" s="11" t="s">
        <v>21</v>
      </c>
    </row>
    <row r="7" spans="3:4" ht="14.25">
      <c r="C7" s="13" t="s">
        <v>23</v>
      </c>
      <c r="D7" t="s">
        <v>24</v>
      </c>
    </row>
    <row r="8" spans="3:4" ht="14.25">
      <c r="C8" s="13" t="s">
        <v>35</v>
      </c>
      <c r="D8" t="s">
        <v>36</v>
      </c>
    </row>
    <row r="9" spans="3:4" ht="14.25">
      <c r="C9" s="13" t="s">
        <v>67</v>
      </c>
      <c r="D9" t="s">
        <v>68</v>
      </c>
    </row>
    <row r="10" spans="3:4" ht="14.25">
      <c r="C10" s="13" t="s">
        <v>115</v>
      </c>
      <c r="D10" t="s">
        <v>116</v>
      </c>
    </row>
    <row r="11" spans="3:4" ht="14.25">
      <c r="C11" s="13" t="s">
        <v>127</v>
      </c>
      <c r="D11" t="s">
        <v>128</v>
      </c>
    </row>
    <row r="12" spans="3:4" ht="14.25">
      <c r="C12" s="13" t="s">
        <v>134</v>
      </c>
      <c r="D12" t="s">
        <v>135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Trinamic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Lars Larsson</dc:creator>
  <cp:keywords/>
  <dc:description/>
  <cp:lastModifiedBy>Bernhard Dwersteg</cp:lastModifiedBy>
  <dcterms:created xsi:type="dcterms:W3CDTF">2010-07-13T08:42:52Z</dcterms:created>
  <dcterms:modified xsi:type="dcterms:W3CDTF">2019-02-22T09:36:10Z</dcterms:modified>
  <cp:category/>
  <cp:version/>
  <cp:contentType/>
  <cp:contentStatus/>
</cp:coreProperties>
</file>