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480" windowHeight="8940" tabRatio="461" activeTab="0"/>
  </bookViews>
  <sheets>
    <sheet name="Power Dissipation Bridges" sheetId="1" r:id="rId1"/>
    <sheet name="Temp Dissipation Package" sheetId="2" r:id="rId2"/>
    <sheet name="TMC26x_chopper" sheetId="3" r:id="rId3"/>
    <sheet name="Revision_History" sheetId="4" r:id="rId4"/>
  </sheets>
  <definedNames/>
  <calcPr fullCalcOnLoad="1"/>
</workbook>
</file>

<file path=xl/sharedStrings.xml><?xml version="1.0" encoding="utf-8"?>
<sst xmlns="http://schemas.openxmlformats.org/spreadsheetml/2006/main" count="183" uniqueCount="161">
  <si>
    <t>VM[V] :=</t>
  </si>
  <si>
    <t>Rcoil[Ohm] :=</t>
  </si>
  <si>
    <t>HystStart_MIN =</t>
  </si>
  <si>
    <t>fCLK[MHz] :=</t>
  </si>
  <si>
    <t>tCLK[s] =</t>
  </si>
  <si>
    <t>TBL :=</t>
  </si>
  <si>
    <t>tBLANK =</t>
  </si>
  <si>
    <t>CS :=</t>
  </si>
  <si>
    <t>Current Scaler</t>
  </si>
  <si>
    <t>dIcoilblank[A] =</t>
  </si>
  <si>
    <t>dIcoilsd[A] =</t>
  </si>
  <si>
    <t>determined by Rsense, CurrentScale (CS), Vsense</t>
  </si>
  <si>
    <t>6 ... 10 fits for most stepper motor types as initial value</t>
  </si>
  <si>
    <t>as set by TBL (=0, 1, 2, 3) &lt;=&gt; 16, 24, 36, 54 tCLK</t>
  </si>
  <si>
    <t>toff setting :=</t>
  </si>
  <si>
    <t>tSD[s] =</t>
  </si>
  <si>
    <t>L[H] :=</t>
  </si>
  <si>
    <t>Icoil (peak)[A] :=</t>
  </si>
  <si>
    <t>THIS CODE AND INFORMATION IS PROVIDED "AS IS" WITHOUT WARRANTY OF ANY  KIND, EITHER EXPRESSED OR IMPLIED.</t>
  </si>
  <si>
    <t>File :</t>
  </si>
  <si>
    <t>Date</t>
  </si>
  <si>
    <t>Comment</t>
  </si>
  <si>
    <t>tmc262_calculations.xls</t>
  </si>
  <si>
    <t>September 06, 2010</t>
  </si>
  <si>
    <t>initial version</t>
  </si>
  <si>
    <t>((HSTR + HEND) &gt; HystStart_MIN)</t>
  </si>
  <si>
    <t>HEND = 0 or larger, if HystStart_MIN  &gt; 7</t>
  </si>
  <si>
    <t>Sample Setting HSTR</t>
  </si>
  <si>
    <t>Sample Setting HEND</t>
  </si>
  <si>
    <t>(1...8)</t>
  </si>
  <si>
    <t>(-3...12)</t>
  </si>
  <si>
    <t>Desired Value</t>
  </si>
  <si>
    <t>Register value for CHOPCONF register bits</t>
  </si>
  <si>
    <t>Settings for TMC26x</t>
  </si>
  <si>
    <t>TMC26x Hysteresis Chopper Parameter Setting (spreadCycle chopper)</t>
  </si>
  <si>
    <t>March 07, 2011</t>
  </si>
  <si>
    <t>Hints concerning hysteresis settings (HSTR, HEND) added</t>
  </si>
  <si>
    <t xml:space="preserve">Hint: </t>
  </si>
  <si>
    <t xml:space="preserve">Nominal motor voltage </t>
  </si>
  <si>
    <t>Maximum supply voltage for motor driver (in order to avoid excess heating of the motor by chopping)</t>
  </si>
  <si>
    <t>Umotnom[V] =</t>
  </si>
  <si>
    <t>VM_upper_limit[V] =</t>
  </si>
  <si>
    <t>VM_lower_limit[V] =</t>
  </si>
  <si>
    <t>Minimum supply voltage for motor driver (in order to allow full motor current with microstepping)</t>
  </si>
  <si>
    <t>Derived motor data ( motor specific limits)</t>
  </si>
  <si>
    <t>Prsense[W]=</t>
  </si>
  <si>
    <t>TMC26x MOSFET power disspiation calculator</t>
  </si>
  <si>
    <t>Please enter Values higlighted according your settings</t>
  </si>
  <si>
    <t>The calculation sheet assumes chopping with a 50% duty cycle and use of the standard spread cycle chopper, i.e. the sum of ON-Time and Fast decay time is identical to the selected Toff setting.</t>
  </si>
  <si>
    <t>fCHOP[kHz]=</t>
  </si>
  <si>
    <t>determined by Rsense, CurrentScale (CS), Vsense, this is typically the RMS motor coil current  *1.41</t>
  </si>
  <si>
    <t>Icoil (RMS)[A] :=</t>
  </si>
  <si>
    <t>The RMS current is automatically calculated from the peak coil current, but you may modify it, e.g. for fullstep operation</t>
  </si>
  <si>
    <t>MOSFET data</t>
  </si>
  <si>
    <t>MOSFET data for 25°C</t>
  </si>
  <si>
    <t>MOSFET Temperature [°C] :=</t>
  </si>
  <si>
    <t>Typical values for usage with these types</t>
  </si>
  <si>
    <t>SLPH[0-3]=</t>
  </si>
  <si>
    <t>SLPL[0-3]=</t>
  </si>
  <si>
    <t>Driver current (from TMC26x Datasheet)</t>
  </si>
  <si>
    <t>ILSon[mA]:=</t>
  </si>
  <si>
    <t>IHSon[mA]:=</t>
  </si>
  <si>
    <t>Slope time rise [ns]=</t>
  </si>
  <si>
    <t>Slope time fall [ns]=</t>
  </si>
  <si>
    <t>0-3:</t>
  </si>
  <si>
    <t>mA</t>
  </si>
  <si>
    <t>2011-Mar-16</t>
  </si>
  <si>
    <t>Power dissipation shett added</t>
  </si>
  <si>
    <t>Resulting MOSFET Power Dissipation</t>
  </si>
  <si>
    <t>P_highside(static)[W]=</t>
  </si>
  <si>
    <t>P_highside(dynamic)[W]=</t>
  </si>
  <si>
    <t>P_highside(sum)[W]=</t>
  </si>
  <si>
    <t>P_lowside(sum)[W]=</t>
  </si>
  <si>
    <t>for complete two fullbridges</t>
  </si>
  <si>
    <t>Dutycycle_HS:=</t>
  </si>
  <si>
    <t>P_lowside(static)[W]=</t>
  </si>
  <si>
    <t>P_lowside(dynamic)[W]=</t>
  </si>
  <si>
    <t>per MOSFET (using RMS current)</t>
  </si>
  <si>
    <t>The duty cycle describes the time of a chopper period, where a high side MOSFET is on: 0.3=30% of the time, 70% slow decay portion)</t>
  </si>
  <si>
    <t>for one fullbridge</t>
  </si>
  <si>
    <t>Pfullbrige[W]=</t>
  </si>
  <si>
    <t>PMOSFETs[W]=</t>
  </si>
  <si>
    <t>Sense resistor [Ohm]:=</t>
  </si>
  <si>
    <t>Use this value to calculate heat up of single P-MOSFET device based on thermal resistance!</t>
  </si>
  <si>
    <t>Use this value to calculate heat up of single N-MOSFET device based on thermal resistance!</t>
  </si>
  <si>
    <t>Use this value to calculate heat up of sense resistor under normal conditions!</t>
  </si>
  <si>
    <t>Use this value to calculate complete power dissipation of the MOSFETs in a driver!</t>
  </si>
  <si>
    <t>Power dissipation for one sense resistor</t>
  </si>
  <si>
    <t>TMC26x clock frequency</t>
  </si>
  <si>
    <t>Motor current</t>
  </si>
  <si>
    <t>Chopper parameters</t>
  </si>
  <si>
    <t>25% to 70% duty cycle can be assumed depending on the motor velocity and supply voltage</t>
  </si>
  <si>
    <t>Slope settings for TMC26x</t>
  </si>
  <si>
    <t>Maximum dissipation per MOSFET</t>
  </si>
  <si>
    <t>Maximum dissiptation per MOSFET</t>
  </si>
  <si>
    <t>(take from datasheet or leave default value)</t>
  </si>
  <si>
    <t>P-MOS</t>
  </si>
  <si>
    <t>N-MOS</t>
  </si>
  <si>
    <t>RON_highside[Ohm]:=</t>
  </si>
  <si>
    <t>RON_lowside[Ohm]:=</t>
  </si>
  <si>
    <t>RON_lowside_th[Ohm]=</t>
  </si>
  <si>
    <t>RON_highside_th[Ohm]=</t>
  </si>
  <si>
    <t>tRR_lowside [ns]:=</t>
  </si>
  <si>
    <t>tRR_highside [ns]:=</t>
  </si>
  <si>
    <t>Reverse recovery time tRR of body diode</t>
  </si>
  <si>
    <t>The reverse recovery time adds power dissipation to the complementary MOSFET, however, the impact is low</t>
  </si>
  <si>
    <t>Assume maximum die temperature in your application within the device limits</t>
  </si>
  <si>
    <t>Driver supply voltage</t>
  </si>
  <si>
    <t>you may want to use worst case values</t>
  </si>
  <si>
    <t>The chopper frequency depends on the toff setting and on the duty cycle, which is determined by many factors</t>
  </si>
  <si>
    <t>Please enter Values higlighted according to your settings</t>
  </si>
  <si>
    <t>2011-MAR-28</t>
  </si>
  <si>
    <t>Corrected missing squares for currents in static power dissipation</t>
  </si>
  <si>
    <t>Automatic calculation of sense resistor (based on CS and Icoil Peak)</t>
  </si>
  <si>
    <t>Ohm</t>
  </si>
  <si>
    <t>Trimming the current scale setting CS will allow to find a value near an existing resistor value</t>
  </si>
  <si>
    <t>Icoil (RMS)[A] =</t>
  </si>
  <si>
    <r>
      <rPr>
        <b/>
        <sz val="11"/>
        <color indexed="8"/>
        <rFont val="Calibri"/>
        <family val="2"/>
      </rPr>
      <t>Rsense</t>
    </r>
    <r>
      <rPr>
        <sz val="11"/>
        <color theme="1"/>
        <rFont val="Calibri"/>
        <family val="2"/>
      </rPr>
      <t xml:space="preserve"> using VSENSE=0</t>
    </r>
  </si>
  <si>
    <r>
      <rPr>
        <b/>
        <sz val="11"/>
        <color indexed="8"/>
        <rFont val="Calibri"/>
        <family val="2"/>
      </rPr>
      <t>Rsense</t>
    </r>
    <r>
      <rPr>
        <sz val="11"/>
        <color theme="1"/>
        <rFont val="Calibri"/>
        <family val="2"/>
      </rPr>
      <t xml:space="preserve"> using VSENSE=1</t>
    </r>
  </si>
  <si>
    <t>15/15/29/42</t>
  </si>
  <si>
    <t>12/12/23/34</t>
  </si>
  <si>
    <t>QGS_highside [nC]:=</t>
  </si>
  <si>
    <t>QGS_lowside [nC]:=</t>
  </si>
  <si>
    <t>2012-FEB-29</t>
  </si>
  <si>
    <t>Revised dynamic dissipation calculation based on Qgs and Qgd rather than on Qg, and revised tRR effect</t>
  </si>
  <si>
    <t>QGD_lowside (Miller) [nC]:=</t>
  </si>
  <si>
    <t>QGD_highside (Miller) [nC]:=</t>
  </si>
  <si>
    <t>Gate drain capacity</t>
  </si>
  <si>
    <t>Gate souce capacity (low side)</t>
  </si>
  <si>
    <t>Gate source capacity (high side)</t>
  </si>
  <si>
    <t>2012-JUL-18</t>
  </si>
  <si>
    <t>Unit</t>
  </si>
  <si>
    <t>watt</t>
  </si>
  <si>
    <t>degree</t>
  </si>
  <si>
    <t>degree/watt</t>
  </si>
  <si>
    <r>
      <t>Theta</t>
    </r>
    <r>
      <rPr>
        <vertAlign val="subscript"/>
        <sz val="11"/>
        <color indexed="8"/>
        <rFont val="Calibri"/>
        <family val="2"/>
      </rPr>
      <t>JA</t>
    </r>
    <r>
      <rPr>
        <sz val="11"/>
        <color theme="1"/>
        <rFont val="Calibri"/>
        <family val="2"/>
      </rPr>
      <t xml:space="preserve"> = Junction to Air Thermal resistance</t>
    </r>
  </si>
  <si>
    <r>
      <t>Theta</t>
    </r>
    <r>
      <rPr>
        <vertAlign val="subscript"/>
        <sz val="11"/>
        <color indexed="8"/>
        <rFont val="Calibri"/>
        <family val="2"/>
      </rPr>
      <t>JC</t>
    </r>
    <r>
      <rPr>
        <sz val="11"/>
        <color theme="1"/>
        <rFont val="Calibri"/>
        <family val="2"/>
      </rPr>
      <t xml:space="preserve"> = Junction to Case Thermal resistance</t>
    </r>
  </si>
  <si>
    <r>
      <t>P = ( T</t>
    </r>
    <r>
      <rPr>
        <vertAlign val="subscript"/>
        <sz val="14"/>
        <color indexed="8"/>
        <rFont val="Calibri"/>
        <family val="2"/>
      </rPr>
      <t>J</t>
    </r>
    <r>
      <rPr>
        <sz val="14"/>
        <color indexed="8"/>
        <rFont val="Calibri"/>
        <family val="2"/>
      </rPr>
      <t xml:space="preserve"> -T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 xml:space="preserve"> ) / Theta</t>
    </r>
  </si>
  <si>
    <t>Parameter</t>
  </si>
  <si>
    <t>Typical</t>
  </si>
  <si>
    <r>
      <t>Theta = ( T</t>
    </r>
    <r>
      <rPr>
        <vertAlign val="subscript"/>
        <sz val="14"/>
        <color indexed="8"/>
        <rFont val="Calibri"/>
        <family val="2"/>
      </rPr>
      <t>J</t>
    </r>
    <r>
      <rPr>
        <sz val="14"/>
        <color indexed="8"/>
        <rFont val="Calibri"/>
        <family val="2"/>
      </rPr>
      <t xml:space="preserve"> -T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 xml:space="preserve"> ) / P</t>
    </r>
  </si>
  <si>
    <r>
      <t>T</t>
    </r>
    <r>
      <rPr>
        <vertAlign val="subscript"/>
        <sz val="11"/>
        <color indexed="8"/>
        <rFont val="Calibri"/>
        <family val="2"/>
      </rPr>
      <t>J</t>
    </r>
    <r>
      <rPr>
        <sz val="11"/>
        <color theme="1"/>
        <rFont val="Calibri"/>
        <family val="2"/>
      </rPr>
      <t xml:space="preserve"> = Junction Temperature, max Temp on die</t>
    </r>
  </si>
  <si>
    <t>depends</t>
  </si>
  <si>
    <t>SK: modified for TMC263 with 30V MOSFETs from M-MOS (preliminary spec), Temp_Dissipation Package, Bond Wire Fuse Current Calculation</t>
  </si>
  <si>
    <t>Compare the maximum dissipated power with the power dissipation of the bridges</t>
  </si>
  <si>
    <t>This calculation does not incorporate any cooling mechanisms via PCB or other passive coolings.</t>
  </si>
  <si>
    <r>
      <t>T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= Ambient Temperature, temp of application environment</t>
    </r>
  </si>
  <si>
    <t>It should be greater than the power dissipation of the bridges</t>
  </si>
  <si>
    <t>TMC260 (40V)</t>
  </si>
  <si>
    <t>TMC261 (60V)</t>
  </si>
  <si>
    <t>TMC2660 typ case</t>
  </si>
  <si>
    <t>&lt;--insert manually!</t>
  </si>
  <si>
    <t>P =  (max. allowed) Power Dissipation from the Device while operating (in this case TMC2660)</t>
  </si>
  <si>
    <t>2017-JUL-17</t>
  </si>
  <si>
    <t>Revised table</t>
  </si>
  <si>
    <r>
      <t xml:space="preserve">resulting max. </t>
    </r>
    <r>
      <rPr>
        <b/>
        <sz val="11"/>
        <color indexed="8"/>
        <rFont val="Calibri"/>
        <family val="2"/>
      </rPr>
      <t xml:space="preserve">RMS current [A] </t>
    </r>
    <r>
      <rPr>
        <sz val="11"/>
        <color theme="1"/>
        <rFont val="Calibri"/>
        <family val="2"/>
      </rPr>
      <t>(fill in manually using Power Dissipation Bridges Table)</t>
    </r>
  </si>
  <si>
    <r>
      <rPr>
        <b/>
        <sz val="11"/>
        <color indexed="8"/>
        <rFont val="Calibri"/>
        <family val="2"/>
      </rPr>
      <t>Theta Thermal resistance [K/W]</t>
    </r>
    <r>
      <rPr>
        <sz val="11"/>
        <color theme="1"/>
        <rFont val="Calibri"/>
        <family val="2"/>
      </rPr>
      <t xml:space="preserve"> bridge transistor junction to ambient, soldered to 4 layer 50cm² PCB</t>
    </r>
  </si>
  <si>
    <r>
      <t>Junction Temperature T</t>
    </r>
    <r>
      <rPr>
        <vertAlign val="subscript"/>
        <sz val="11"/>
        <color indexed="8"/>
        <rFont val="Calibri"/>
        <family val="2"/>
      </rPr>
      <t>J</t>
    </r>
  </si>
  <si>
    <r>
      <t>Ambient Temperature T</t>
    </r>
    <r>
      <rPr>
        <vertAlign val="subscript"/>
        <sz val="11"/>
        <color indexed="8"/>
        <rFont val="Calibri"/>
        <family val="2"/>
      </rPr>
      <t>A</t>
    </r>
  </si>
  <si>
    <t>Power dissipation 
P[W]</t>
  </si>
  <si>
    <t>TMC260 and TMC261 for comparison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</si>
</sst>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3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12" borderId="0" xfId="0" applyFill="1" applyAlignment="1">
      <alignment/>
    </xf>
    <xf numFmtId="0" fontId="34" fillId="0" borderId="0" xfId="0" applyFont="1" applyAlignment="1">
      <alignment horizontal="right"/>
    </xf>
    <xf numFmtId="1" fontId="25" fillId="0" borderId="0" xfId="0" applyNumberFormat="1" applyFont="1" applyAlignment="1">
      <alignment/>
    </xf>
    <xf numFmtId="172" fontId="0" fillId="33" borderId="0" xfId="0" applyNumberFormat="1" applyFill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2" fontId="3" fillId="0" borderId="0" xfId="0" applyNumberFormat="1" applyFont="1" applyAlignment="1">
      <alignment/>
    </xf>
    <xf numFmtId="0" fontId="47" fillId="34" borderId="0" xfId="0" applyFont="1" applyFill="1" applyAlignment="1">
      <alignment/>
    </xf>
    <xf numFmtId="0" fontId="0" fillId="0" borderId="0" xfId="0" applyFont="1" applyAlignment="1">
      <alignment horizontal="right"/>
    </xf>
    <xf numFmtId="1" fontId="28" fillId="33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34" fillId="0" borderId="0" xfId="0" applyFont="1" applyAlignment="1">
      <alignment/>
    </xf>
    <xf numFmtId="0" fontId="28" fillId="0" borderId="0" xfId="0" applyFont="1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2" fontId="34" fillId="0" borderId="0" xfId="0" applyNumberFormat="1" applyFont="1" applyAlignment="1">
      <alignment/>
    </xf>
    <xf numFmtId="0" fontId="45" fillId="0" borderId="0" xfId="0" applyFont="1" applyAlignment="1">
      <alignment/>
    </xf>
    <xf numFmtId="49" fontId="0" fillId="0" borderId="0" xfId="0" applyNumberFormat="1" applyAlignment="1">
      <alignment wrapText="1"/>
    </xf>
    <xf numFmtId="0" fontId="34" fillId="35" borderId="0" xfId="0" applyFont="1" applyFill="1" applyAlignment="1">
      <alignment/>
    </xf>
    <xf numFmtId="0" fontId="0" fillId="35" borderId="0" xfId="0" applyFill="1" applyAlignment="1">
      <alignment/>
    </xf>
    <xf numFmtId="173" fontId="28" fillId="36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173" fontId="0" fillId="34" borderId="0" xfId="0" applyNumberFormat="1" applyFill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0" xfId="47" applyAlignment="1" applyProtection="1">
      <alignment/>
      <protection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45" fillId="0" borderId="0" xfId="0" applyFont="1" applyFill="1" applyBorder="1" applyAlignment="1">
      <alignment horizontal="left"/>
    </xf>
    <xf numFmtId="0" fontId="37" fillId="0" borderId="0" xfId="47" applyNumberFormat="1" applyAlignment="1" applyProtection="1">
      <alignment/>
      <protection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73" fontId="0" fillId="0" borderId="25" xfId="0" applyNumberFormat="1" applyBorder="1" applyAlignment="1">
      <alignment horizontal="center"/>
    </xf>
    <xf numFmtId="173" fontId="0" fillId="0" borderId="26" xfId="0" applyNumberFormat="1" applyBorder="1" applyAlignment="1">
      <alignment horizontal="center"/>
    </xf>
    <xf numFmtId="173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34" fillId="36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34" fillId="37" borderId="0" xfId="0" applyFont="1" applyFill="1" applyAlignment="1">
      <alignment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C9" sqref="C9"/>
    </sheetView>
  </sheetViews>
  <sheetFormatPr defaultColWidth="11.421875" defaultRowHeight="15"/>
  <cols>
    <col min="1" max="1" width="40.140625" style="0" customWidth="1"/>
    <col min="2" max="2" width="26.28125" style="0" customWidth="1"/>
    <col min="3" max="3" width="20.421875" style="0" customWidth="1"/>
    <col min="4" max="4" width="21.57421875" style="0" customWidth="1"/>
    <col min="5" max="5" width="17.140625" style="0" customWidth="1"/>
  </cols>
  <sheetData>
    <row r="1" ht="14.25">
      <c r="B1" s="3" t="s">
        <v>46</v>
      </c>
    </row>
    <row r="2" ht="14.25">
      <c r="B2" s="18" t="s">
        <v>48</v>
      </c>
    </row>
    <row r="3" ht="14.25">
      <c r="B3" s="1"/>
    </row>
    <row r="4" spans="1:8" ht="14.25">
      <c r="A4" s="25" t="s">
        <v>88</v>
      </c>
      <c r="B4" s="1" t="s">
        <v>3</v>
      </c>
      <c r="C4" s="4">
        <v>16</v>
      </c>
      <c r="E4" s="36" t="s">
        <v>110</v>
      </c>
      <c r="F4" s="4"/>
      <c r="G4" s="4"/>
      <c r="H4" s="4"/>
    </row>
    <row r="5" spans="2:3" ht="14.25">
      <c r="B5" s="1" t="s">
        <v>4</v>
      </c>
      <c r="C5">
        <f>1/(1000000*C4)</f>
        <v>6.25E-08</v>
      </c>
    </row>
    <row r="6" ht="14.25">
      <c r="B6" s="1"/>
    </row>
    <row r="7" spans="1:3" ht="14.25">
      <c r="A7" s="25" t="s">
        <v>107</v>
      </c>
      <c r="B7" s="1" t="s">
        <v>0</v>
      </c>
      <c r="C7" s="4">
        <v>24</v>
      </c>
    </row>
    <row r="8" ht="14.25">
      <c r="B8" s="1"/>
    </row>
    <row r="9" spans="1:5" ht="14.25">
      <c r="A9" s="25" t="s">
        <v>89</v>
      </c>
      <c r="B9" s="1" t="s">
        <v>17</v>
      </c>
      <c r="C9" s="58">
        <v>2</v>
      </c>
      <c r="E9" t="s">
        <v>50</v>
      </c>
    </row>
    <row r="10" spans="2:5" ht="14.25">
      <c r="B10" s="1" t="s">
        <v>51</v>
      </c>
      <c r="C10" s="59">
        <f>C9/SQRT(2)</f>
        <v>1.414213562373095</v>
      </c>
      <c r="E10" t="s">
        <v>52</v>
      </c>
    </row>
    <row r="11" spans="2:3" ht="14.25">
      <c r="B11" s="1"/>
      <c r="C11" s="28"/>
    </row>
    <row r="12" spans="1:3" ht="14.25">
      <c r="A12" s="25" t="s">
        <v>90</v>
      </c>
      <c r="B12" s="1" t="s">
        <v>14</v>
      </c>
      <c r="C12" s="4">
        <v>4</v>
      </c>
    </row>
    <row r="13" spans="2:3" ht="14.25">
      <c r="B13" s="1" t="s">
        <v>15</v>
      </c>
      <c r="C13">
        <f>(12+32*C12)*C5</f>
        <v>8.75E-06</v>
      </c>
    </row>
    <row r="14" spans="2:5" ht="14.25">
      <c r="B14" s="1" t="s">
        <v>49</v>
      </c>
      <c r="C14" s="17">
        <f>1/((2+4*C15)*C13)/1000</f>
        <v>28.571428571428573</v>
      </c>
      <c r="E14" t="s">
        <v>109</v>
      </c>
    </row>
    <row r="15" spans="1:5" ht="42.75">
      <c r="A15" s="32" t="s">
        <v>91</v>
      </c>
      <c r="B15" s="1" t="s">
        <v>74</v>
      </c>
      <c r="C15" s="27">
        <v>0.5</v>
      </c>
      <c r="E15" t="s">
        <v>78</v>
      </c>
    </row>
    <row r="16" spans="2:3" ht="14.25">
      <c r="B16" s="1"/>
      <c r="C16" s="28"/>
    </row>
    <row r="17" spans="1:7" ht="14.25">
      <c r="A17" s="25" t="s">
        <v>53</v>
      </c>
      <c r="B17" s="1"/>
      <c r="C17" s="75" t="s">
        <v>148</v>
      </c>
      <c r="D17" s="75" t="s">
        <v>149</v>
      </c>
      <c r="E17" s="25" t="s">
        <v>150</v>
      </c>
      <c r="G17" t="s">
        <v>160</v>
      </c>
    </row>
    <row r="18" spans="1:6" ht="14.25">
      <c r="A18" t="s">
        <v>54</v>
      </c>
      <c r="B18" s="1" t="s">
        <v>98</v>
      </c>
      <c r="C18">
        <v>0.19</v>
      </c>
      <c r="D18">
        <v>0.2</v>
      </c>
      <c r="E18" s="73">
        <f>0.075+0.018</f>
        <v>0.093</v>
      </c>
      <c r="F18" t="s">
        <v>96</v>
      </c>
    </row>
    <row r="19" spans="1:6" ht="14.25">
      <c r="A19" s="15" t="s">
        <v>108</v>
      </c>
      <c r="B19" s="1" t="s">
        <v>99</v>
      </c>
      <c r="C19">
        <v>0.125</v>
      </c>
      <c r="D19">
        <v>0.1</v>
      </c>
      <c r="E19" s="73">
        <f>0.045+0.018</f>
        <v>0.063</v>
      </c>
      <c r="F19" t="s">
        <v>97</v>
      </c>
    </row>
    <row r="20" spans="2:5" ht="14.25">
      <c r="B20" s="1"/>
      <c r="E20" s="26"/>
    </row>
    <row r="21" spans="2:7" ht="14.25">
      <c r="B21" s="21" t="s">
        <v>55</v>
      </c>
      <c r="C21" s="22">
        <v>125</v>
      </c>
      <c r="D21" s="4">
        <v>125</v>
      </c>
      <c r="E21" s="4">
        <v>125</v>
      </c>
      <c r="G21" t="s">
        <v>106</v>
      </c>
    </row>
    <row r="22" spans="2:6" ht="14.25">
      <c r="B22" s="1" t="s">
        <v>101</v>
      </c>
      <c r="C22" s="17">
        <f>C18*(1+(0.55*(C21-25)/100))</f>
        <v>0.29450000000000004</v>
      </c>
      <c r="D22" s="17">
        <f>D18*(1+(0.55*(D21-25)/100))</f>
        <v>0.31000000000000005</v>
      </c>
      <c r="E22" s="17">
        <f>E18*(1+(0.55*(E21-25)/100))</f>
        <v>0.14415</v>
      </c>
      <c r="F22" t="s">
        <v>96</v>
      </c>
    </row>
    <row r="23" spans="2:6" ht="14.25">
      <c r="B23" s="1" t="s">
        <v>100</v>
      </c>
      <c r="C23" s="17">
        <f>C19*(1+(0.55*(C21-25)/100))</f>
        <v>0.19375</v>
      </c>
      <c r="D23" s="17">
        <f>D19*(1+(0.55*(D21-25)/100))</f>
        <v>0.15500000000000003</v>
      </c>
      <c r="E23" s="17">
        <f>E19*(1+(0.55*(E21-25)/100))</f>
        <v>0.09765</v>
      </c>
      <c r="F23" t="s">
        <v>97</v>
      </c>
    </row>
    <row r="24" spans="2:5" ht="14.25">
      <c r="B24" s="21"/>
      <c r="C24" s="17"/>
      <c r="D24" s="17"/>
      <c r="E24" s="9"/>
    </row>
    <row r="25" spans="1:6" ht="14.25">
      <c r="A25" t="s">
        <v>129</v>
      </c>
      <c r="B25" s="1" t="s">
        <v>121</v>
      </c>
      <c r="C25" s="23">
        <v>0.8</v>
      </c>
      <c r="D25" s="23">
        <v>1.3</v>
      </c>
      <c r="E25" s="24">
        <v>2.12</v>
      </c>
      <c r="F25" t="s">
        <v>96</v>
      </c>
    </row>
    <row r="26" spans="1:5" ht="14.25">
      <c r="A26" t="s">
        <v>127</v>
      </c>
      <c r="B26" s="1" t="s">
        <v>126</v>
      </c>
      <c r="C26" s="23">
        <v>1.1</v>
      </c>
      <c r="D26" s="23">
        <v>2.5</v>
      </c>
      <c r="E26" s="24">
        <v>1.77</v>
      </c>
    </row>
    <row r="27" spans="1:6" ht="14.25">
      <c r="A27" t="s">
        <v>128</v>
      </c>
      <c r="B27" s="1" t="s">
        <v>122</v>
      </c>
      <c r="C27" s="23">
        <v>1</v>
      </c>
      <c r="D27" s="23">
        <v>1.1</v>
      </c>
      <c r="E27" s="24">
        <v>2.91</v>
      </c>
      <c r="F27" t="s">
        <v>97</v>
      </c>
    </row>
    <row r="28" spans="1:5" ht="14.25">
      <c r="A28" t="s">
        <v>127</v>
      </c>
      <c r="B28" s="1" t="s">
        <v>125</v>
      </c>
      <c r="C28" s="23">
        <v>0.9</v>
      </c>
      <c r="D28" s="23">
        <v>0.95</v>
      </c>
      <c r="E28" s="24">
        <v>0.92</v>
      </c>
    </row>
    <row r="29" spans="2:5" ht="14.25">
      <c r="B29" s="1"/>
      <c r="C29" s="23"/>
      <c r="D29" s="23"/>
      <c r="E29" s="24"/>
    </row>
    <row r="30" spans="1:7" ht="14.25">
      <c r="A30" t="s">
        <v>104</v>
      </c>
      <c r="B30" s="1" t="s">
        <v>103</v>
      </c>
      <c r="C30" s="14">
        <v>14</v>
      </c>
      <c r="D30" s="14">
        <v>28</v>
      </c>
      <c r="E30" s="74">
        <v>15</v>
      </c>
      <c r="F30" t="s">
        <v>96</v>
      </c>
      <c r="G30" t="s">
        <v>105</v>
      </c>
    </row>
    <row r="31" spans="1:6" ht="14.25">
      <c r="A31" t="s">
        <v>95</v>
      </c>
      <c r="B31" s="1" t="s">
        <v>102</v>
      </c>
      <c r="C31" s="14">
        <v>3</v>
      </c>
      <c r="D31" s="14">
        <v>25</v>
      </c>
      <c r="E31" s="74">
        <v>10</v>
      </c>
      <c r="F31" t="s">
        <v>97</v>
      </c>
    </row>
    <row r="32" spans="2:5" ht="14.25">
      <c r="B32" s="1"/>
      <c r="C32" s="23"/>
      <c r="D32" s="23"/>
      <c r="E32" s="24"/>
    </row>
    <row r="33" spans="1:6" ht="14.25">
      <c r="A33" s="25" t="s">
        <v>92</v>
      </c>
      <c r="B33" s="1" t="s">
        <v>57</v>
      </c>
      <c r="C33" s="14">
        <v>1</v>
      </c>
      <c r="D33" s="14">
        <v>2</v>
      </c>
      <c r="E33" s="74">
        <v>3</v>
      </c>
      <c r="F33" t="s">
        <v>56</v>
      </c>
    </row>
    <row r="34" spans="2:6" ht="14.25">
      <c r="B34" s="1" t="s">
        <v>58</v>
      </c>
      <c r="C34" s="14">
        <v>1</v>
      </c>
      <c r="D34" s="14">
        <v>1</v>
      </c>
      <c r="E34" s="74">
        <v>3</v>
      </c>
      <c r="F34" t="s">
        <v>56</v>
      </c>
    </row>
    <row r="35" spans="1:9" ht="14.25">
      <c r="A35" t="s">
        <v>59</v>
      </c>
      <c r="B35" s="1" t="s">
        <v>61</v>
      </c>
      <c r="C35" s="14">
        <v>15</v>
      </c>
      <c r="D35" s="14">
        <v>29</v>
      </c>
      <c r="E35" s="74">
        <v>42</v>
      </c>
      <c r="F35" s="1" t="s">
        <v>64</v>
      </c>
      <c r="G35" t="s">
        <v>119</v>
      </c>
      <c r="H35" t="s">
        <v>65</v>
      </c>
      <c r="I35" t="s">
        <v>151</v>
      </c>
    </row>
    <row r="36" spans="2:9" ht="14.25">
      <c r="B36" s="1" t="s">
        <v>60</v>
      </c>
      <c r="C36" s="14">
        <v>12</v>
      </c>
      <c r="D36" s="14">
        <v>12</v>
      </c>
      <c r="E36" s="74">
        <v>34</v>
      </c>
      <c r="F36" s="1" t="s">
        <v>64</v>
      </c>
      <c r="G36" t="s">
        <v>120</v>
      </c>
      <c r="H36" t="s">
        <v>65</v>
      </c>
      <c r="I36" t="s">
        <v>151</v>
      </c>
    </row>
    <row r="38" spans="2:5" ht="14.25">
      <c r="B38" s="1" t="s">
        <v>62</v>
      </c>
      <c r="C38" s="14">
        <f>1000*(C25/2+C26)/C35</f>
        <v>100</v>
      </c>
      <c r="D38" s="14">
        <f>1000*(D25/2+D26)/D35</f>
        <v>108.62068965517241</v>
      </c>
      <c r="E38" s="14">
        <f>1000*(E25/2+E26)/E35</f>
        <v>67.38095238095238</v>
      </c>
    </row>
    <row r="39" spans="2:5" ht="14.25">
      <c r="B39" s="1" t="s">
        <v>63</v>
      </c>
      <c r="C39" s="14">
        <f>1000*(C27/2+C28)/C36</f>
        <v>116.66666666666667</v>
      </c>
      <c r="D39" s="14">
        <f>1000*(D27/2+D28)/D36</f>
        <v>125</v>
      </c>
      <c r="E39" s="14">
        <f>1000*(E27/2+E28)/E36</f>
        <v>69.8529411764706</v>
      </c>
    </row>
    <row r="40" spans="2:5" ht="14.25">
      <c r="B40" s="1"/>
      <c r="C40" s="14"/>
      <c r="D40" s="14"/>
      <c r="E40" s="14"/>
    </row>
    <row r="41" spans="1:5" ht="14.25">
      <c r="A41" s="33" t="s">
        <v>68</v>
      </c>
      <c r="B41" s="1" t="s">
        <v>69</v>
      </c>
      <c r="C41" s="17">
        <f>C22*($C$10^2)*$C$15</f>
        <v>0.2945</v>
      </c>
      <c r="D41" s="17">
        <f>D22*($C$10^2)*$C$15</f>
        <v>0.31</v>
      </c>
      <c r="E41" s="17">
        <f>E22*($C$10^2)*$C$15</f>
        <v>0.14414999999999997</v>
      </c>
    </row>
    <row r="42" spans="1:5" ht="14.25">
      <c r="A42" s="25" t="s">
        <v>77</v>
      </c>
      <c r="B42" s="1" t="s">
        <v>70</v>
      </c>
      <c r="C42" s="9">
        <f>$C$14*1000*((C38+C31)/1000000000)*$C$7*$C$10*2/2</f>
        <v>0.09988388360532259</v>
      </c>
      <c r="D42" s="9">
        <f>$C$14*1000*((D38+D31)/1000000000)*$C$7*$C$10*2/2</f>
        <v>0.1295781884735939</v>
      </c>
      <c r="E42" s="9">
        <f>$C$14*1000*((E38+E31)/1000000000)*$C$7*$C$10*2/2</f>
        <v>0.07503990330959279</v>
      </c>
    </row>
    <row r="43" spans="1:7" ht="14.25">
      <c r="A43" s="34" t="s">
        <v>93</v>
      </c>
      <c r="B43" s="6" t="s">
        <v>71</v>
      </c>
      <c r="C43" s="30">
        <f>C41+C42</f>
        <v>0.39438388360532256</v>
      </c>
      <c r="D43" s="30">
        <f>D41+D42</f>
        <v>0.43957818847359387</v>
      </c>
      <c r="E43" s="30">
        <f>E41+E42</f>
        <v>0.21918990330959276</v>
      </c>
      <c r="G43" s="31" t="s">
        <v>83</v>
      </c>
    </row>
    <row r="44" spans="2:5" ht="14.25">
      <c r="B44" s="1" t="s">
        <v>75</v>
      </c>
      <c r="C44" s="17">
        <f>(1-$C$15+0.5*$C$15)*($C$10^2)*C23</f>
        <v>0.2906249999999999</v>
      </c>
      <c r="D44" s="17">
        <f>(1-$C$15+0.5*$C$15)*($C$10^2)*D23</f>
        <v>0.23249999999999998</v>
      </c>
      <c r="E44" s="17">
        <f>(1-$C$15+0.5*$C$15)*($C$10^2)*E23</f>
        <v>0.14647499999999997</v>
      </c>
    </row>
    <row r="45" spans="2:5" ht="14.25">
      <c r="B45" s="1" t="s">
        <v>76</v>
      </c>
      <c r="C45" s="9">
        <f>$C$14*1000*((C39+C30)/1000000000)*$C$7*$C$10*2/2</f>
        <v>0.12671353518862932</v>
      </c>
      <c r="D45" s="9">
        <f>$C$14*1000*((D39+D30)/1000000000)*$C$7*$C$10*2/2</f>
        <v>0.14837120574382873</v>
      </c>
      <c r="E45" s="9">
        <f>$C$14*1000*((E39+E30)/1000000000)*$C$7*$C$10*2/2</f>
        <v>0.08228583786446478</v>
      </c>
    </row>
    <row r="46" spans="1:7" ht="14.25">
      <c r="A46" s="34" t="s">
        <v>94</v>
      </c>
      <c r="B46" s="6" t="s">
        <v>72</v>
      </c>
      <c r="C46" s="30">
        <f>C44+C45</f>
        <v>0.41733853518862923</v>
      </c>
      <c r="D46" s="30">
        <f>D44+D45</f>
        <v>0.3808712057438287</v>
      </c>
      <c r="E46" s="30">
        <f>E44+E45</f>
        <v>0.22876083786446474</v>
      </c>
      <c r="G46" s="31" t="s">
        <v>84</v>
      </c>
    </row>
    <row r="47" spans="1:5" ht="14.25">
      <c r="A47" s="29"/>
      <c r="B47" s="6"/>
      <c r="C47" s="17"/>
      <c r="D47" s="17"/>
      <c r="E47" s="17"/>
    </row>
    <row r="48" spans="1:5" ht="14.25">
      <c r="A48" t="s">
        <v>79</v>
      </c>
      <c r="B48" s="1" t="s">
        <v>80</v>
      </c>
      <c r="C48" s="17">
        <f>2*C44+C45+2*C41+C42</f>
        <v>1.3968474187939517</v>
      </c>
      <c r="D48" s="17">
        <f>2*D44+D45+2*D41+D42</f>
        <v>1.3629493942174224</v>
      </c>
      <c r="E48" s="17">
        <f>2*E44+E45+2*E41+E42</f>
        <v>0.7385757411740574</v>
      </c>
    </row>
    <row r="49" spans="1:7" ht="14.25">
      <c r="A49" s="33" t="s">
        <v>73</v>
      </c>
      <c r="B49" s="6" t="s">
        <v>81</v>
      </c>
      <c r="C49" s="72">
        <f>2*C48</f>
        <v>2.7936948375879034</v>
      </c>
      <c r="D49" s="72">
        <f>2*D48</f>
        <v>2.725898788434845</v>
      </c>
      <c r="E49" s="72">
        <f>2*E48</f>
        <v>1.4771514823481149</v>
      </c>
      <c r="G49" s="31" t="s">
        <v>86</v>
      </c>
    </row>
    <row r="51" spans="1:3" ht="14.25">
      <c r="A51" s="33" t="s">
        <v>87</v>
      </c>
      <c r="B51" s="1" t="s">
        <v>82</v>
      </c>
      <c r="C51" s="35">
        <v>0.1</v>
      </c>
    </row>
    <row r="52" spans="2:7" ht="14.25">
      <c r="B52" s="6" t="s">
        <v>45</v>
      </c>
      <c r="C52" s="30">
        <f>C51*C10*C10*C15</f>
        <v>0.09999999999999999</v>
      </c>
      <c r="G52" s="31" t="s">
        <v>85</v>
      </c>
    </row>
    <row r="56" ht="14.25">
      <c r="A56" s="12"/>
    </row>
    <row r="57" ht="14.25">
      <c r="A57" s="12"/>
    </row>
    <row r="58" ht="14.25">
      <c r="A58" s="12"/>
    </row>
    <row r="59" ht="14.25">
      <c r="A59" s="12"/>
    </row>
    <row r="61" spans="1:2" ht="14.25">
      <c r="A61" s="12"/>
      <c r="B61" s="17"/>
    </row>
    <row r="62" spans="1:2" ht="14.25">
      <c r="A62" s="12"/>
      <c r="B62" s="17"/>
    </row>
    <row r="63" spans="1:2" ht="14.25">
      <c r="A63" s="12"/>
      <c r="B63" s="19"/>
    </row>
    <row r="64" spans="1:2" ht="14.25">
      <c r="A64" s="12"/>
      <c r="B64" s="17"/>
    </row>
    <row r="65" spans="1:2" ht="14.25">
      <c r="A65" s="12"/>
      <c r="B65" s="17"/>
    </row>
    <row r="66" spans="1:2" ht="14.25">
      <c r="A66" s="12"/>
      <c r="B66" s="17"/>
    </row>
    <row r="67" spans="1:2" ht="14.25">
      <c r="A67" s="12"/>
      <c r="B67" s="1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0"/>
  <sheetViews>
    <sheetView zoomScalePageLayoutView="0" workbookViewId="0" topLeftCell="A1">
      <selection activeCell="D28" sqref="D28"/>
    </sheetView>
  </sheetViews>
  <sheetFormatPr defaultColWidth="11.421875" defaultRowHeight="15"/>
  <cols>
    <col min="1" max="1" width="32.00390625" style="0" customWidth="1"/>
    <col min="5" max="5" width="39.28125" style="0" customWidth="1"/>
    <col min="6" max="6" width="15.57421875" style="0" customWidth="1"/>
    <col min="7" max="7" width="4.140625" style="0" customWidth="1"/>
    <col min="8" max="8" width="12.28125" style="0" customWidth="1"/>
  </cols>
  <sheetData>
    <row r="2" ht="15" thickBot="1"/>
    <row r="3" spans="1:9" ht="15" thickBot="1">
      <c r="A3" s="76" t="s">
        <v>138</v>
      </c>
      <c r="B3" s="77"/>
      <c r="C3" s="77"/>
      <c r="D3" s="77"/>
      <c r="E3" s="77"/>
      <c r="F3" s="77"/>
      <c r="G3" s="77"/>
      <c r="H3" s="56" t="s">
        <v>131</v>
      </c>
      <c r="I3" s="41" t="s">
        <v>139</v>
      </c>
    </row>
    <row r="4" spans="1:9" ht="15">
      <c r="A4" s="78" t="s">
        <v>141</v>
      </c>
      <c r="B4" s="79"/>
      <c r="C4" s="79"/>
      <c r="D4" s="79"/>
      <c r="E4" s="79"/>
      <c r="F4" s="79"/>
      <c r="G4" s="79"/>
      <c r="H4" s="55" t="s">
        <v>133</v>
      </c>
      <c r="I4" s="43">
        <v>150</v>
      </c>
    </row>
    <row r="5" spans="1:9" ht="15">
      <c r="A5" s="80" t="s">
        <v>146</v>
      </c>
      <c r="B5" s="81"/>
      <c r="C5" s="81"/>
      <c r="D5" s="81"/>
      <c r="E5" s="81"/>
      <c r="F5" s="81"/>
      <c r="G5" s="81"/>
      <c r="H5" s="53" t="s">
        <v>133</v>
      </c>
      <c r="I5" s="39">
        <v>25</v>
      </c>
    </row>
    <row r="6" spans="1:9" ht="35.25" customHeight="1">
      <c r="A6" s="82" t="s">
        <v>152</v>
      </c>
      <c r="B6" s="83"/>
      <c r="C6" s="83"/>
      <c r="D6" s="83"/>
      <c r="E6" s="83"/>
      <c r="F6" s="83"/>
      <c r="G6" s="84"/>
      <c r="H6" s="53" t="s">
        <v>132</v>
      </c>
      <c r="I6" s="39" t="s">
        <v>142</v>
      </c>
    </row>
    <row r="7" spans="1:9" ht="15">
      <c r="A7" s="80" t="s">
        <v>135</v>
      </c>
      <c r="B7" s="81"/>
      <c r="C7" s="81"/>
      <c r="D7" s="81"/>
      <c r="E7" s="81"/>
      <c r="F7" s="81"/>
      <c r="G7" s="81"/>
      <c r="H7" s="53" t="s">
        <v>134</v>
      </c>
      <c r="I7" s="39" t="s">
        <v>142</v>
      </c>
    </row>
    <row r="8" spans="1:9" ht="15.75" thickBot="1">
      <c r="A8" s="85" t="s">
        <v>136</v>
      </c>
      <c r="B8" s="86"/>
      <c r="C8" s="86"/>
      <c r="D8" s="86"/>
      <c r="E8" s="86"/>
      <c r="F8" s="86"/>
      <c r="G8" s="86"/>
      <c r="H8" s="54" t="s">
        <v>134</v>
      </c>
      <c r="I8" s="40" t="s">
        <v>142</v>
      </c>
    </row>
    <row r="12" spans="1:5" ht="20.25">
      <c r="A12" s="38" t="s">
        <v>137</v>
      </c>
      <c r="E12" s="42"/>
    </row>
    <row r="14" spans="1:5" ht="20.25">
      <c r="A14" s="38" t="s">
        <v>140</v>
      </c>
      <c r="E14" s="61"/>
    </row>
    <row r="17" ht="15" thickBot="1"/>
    <row r="18" spans="1:5" s="57" customFormat="1" ht="45" thickBot="1">
      <c r="A18" s="62" t="s">
        <v>156</v>
      </c>
      <c r="B18" s="63" t="s">
        <v>157</v>
      </c>
      <c r="C18" s="63" t="s">
        <v>158</v>
      </c>
      <c r="D18" s="64" t="s">
        <v>159</v>
      </c>
      <c r="E18" s="68" t="s">
        <v>155</v>
      </c>
    </row>
    <row r="19" spans="1:6" ht="14.25">
      <c r="A19" s="50">
        <v>28</v>
      </c>
      <c r="B19" s="51">
        <v>150</v>
      </c>
      <c r="C19" s="52">
        <v>25</v>
      </c>
      <c r="D19" s="65">
        <f>(B19-C19)/A19</f>
        <v>4.464285714285714</v>
      </c>
      <c r="E19" s="69">
        <v>2.6</v>
      </c>
      <c r="F19" s="60" t="s">
        <v>144</v>
      </c>
    </row>
    <row r="20" spans="1:6" ht="14.25">
      <c r="A20" s="44">
        <f>A19</f>
        <v>28</v>
      </c>
      <c r="B20" s="48">
        <v>150</v>
      </c>
      <c r="C20" s="45">
        <v>50</v>
      </c>
      <c r="D20" s="66">
        <f>(B20-C20)/A20</f>
        <v>3.5714285714285716</v>
      </c>
      <c r="E20" s="70">
        <v>2.3</v>
      </c>
      <c r="F20" s="31" t="s">
        <v>147</v>
      </c>
    </row>
    <row r="21" spans="1:6" ht="14.25">
      <c r="A21" s="44">
        <f>A20</f>
        <v>28</v>
      </c>
      <c r="B21" s="48">
        <v>150</v>
      </c>
      <c r="C21" s="45">
        <v>75</v>
      </c>
      <c r="D21" s="66">
        <f>(B21-C21)/A21</f>
        <v>2.6785714285714284</v>
      </c>
      <c r="E21" s="70">
        <v>2</v>
      </c>
      <c r="F21" s="31" t="s">
        <v>145</v>
      </c>
    </row>
    <row r="22" spans="1:5" ht="14.25">
      <c r="A22" s="44">
        <f>A21</f>
        <v>28</v>
      </c>
      <c r="B22" s="48">
        <v>150</v>
      </c>
      <c r="C22" s="45">
        <v>100</v>
      </c>
      <c r="D22" s="66">
        <f>(B22-C22)/A22</f>
        <v>1.7857142857142858</v>
      </c>
      <c r="E22" s="70">
        <v>1.6</v>
      </c>
    </row>
    <row r="23" spans="1:5" ht="15" thickBot="1">
      <c r="A23" s="46">
        <f>A22</f>
        <v>28</v>
      </c>
      <c r="B23" s="49">
        <v>150</v>
      </c>
      <c r="C23" s="47">
        <v>125</v>
      </c>
      <c r="D23" s="67">
        <f>(B23-C23)/A23</f>
        <v>0.8928571428571429</v>
      </c>
      <c r="E23" s="71">
        <v>1.1</v>
      </c>
    </row>
    <row r="26" ht="14.25">
      <c r="A26" s="42"/>
    </row>
    <row r="29" ht="14.25">
      <c r="J29" s="25"/>
    </row>
    <row r="30" spans="2:5" ht="14.25">
      <c r="B30" s="25"/>
      <c r="C30" s="25"/>
      <c r="D30" s="25"/>
      <c r="E30" s="25"/>
    </row>
    <row r="40" ht="14.25">
      <c r="A40" s="25"/>
    </row>
  </sheetData>
  <sheetProtection/>
  <mergeCells count="6">
    <mergeCell ref="A3:G3"/>
    <mergeCell ref="A4:G4"/>
    <mergeCell ref="A5:G5"/>
    <mergeCell ref="A6:G6"/>
    <mergeCell ref="A7:G7"/>
    <mergeCell ref="A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4"/>
  <sheetViews>
    <sheetView zoomScalePageLayoutView="0" workbookViewId="0" topLeftCell="A1">
      <selection activeCell="K18" sqref="K18"/>
    </sheetView>
  </sheetViews>
  <sheetFormatPr defaultColWidth="11.421875" defaultRowHeight="15"/>
  <cols>
    <col min="2" max="2" width="22.8515625" style="1" customWidth="1"/>
    <col min="4" max="4" width="5.57421875" style="0" customWidth="1"/>
    <col min="5" max="5" width="14.421875" style="0" customWidth="1"/>
  </cols>
  <sheetData>
    <row r="2" ht="14.25">
      <c r="B2" s="10" t="s">
        <v>18</v>
      </c>
    </row>
    <row r="4" ht="14.25">
      <c r="B4" s="3" t="s">
        <v>34</v>
      </c>
    </row>
    <row r="6" spans="2:5" ht="14.25">
      <c r="B6" s="1" t="s">
        <v>3</v>
      </c>
      <c r="C6" s="4">
        <v>16</v>
      </c>
      <c r="E6" s="20" t="s">
        <v>47</v>
      </c>
    </row>
    <row r="7" spans="2:3" ht="14.25">
      <c r="B7" s="1" t="s">
        <v>4</v>
      </c>
      <c r="C7">
        <f>1/(1000000*C6)</f>
        <v>6.25E-08</v>
      </c>
    </row>
    <row r="9" spans="2:3" ht="14.25">
      <c r="B9" s="1" t="s">
        <v>0</v>
      </c>
      <c r="C9" s="4">
        <v>24</v>
      </c>
    </row>
    <row r="10" spans="2:3" ht="14.25">
      <c r="B10" s="1" t="s">
        <v>5</v>
      </c>
      <c r="C10" s="4">
        <v>2</v>
      </c>
    </row>
    <row r="11" spans="2:5" ht="14.25">
      <c r="B11" s="1" t="s">
        <v>6</v>
      </c>
      <c r="C11" s="2">
        <f>C7*16*(1.5^C10)</f>
        <v>2.25E-06</v>
      </c>
      <c r="E11" t="s">
        <v>13</v>
      </c>
    </row>
    <row r="12" spans="2:4" ht="14.25">
      <c r="B12" s="1" t="s">
        <v>16</v>
      </c>
      <c r="C12" s="8">
        <v>0.0075</v>
      </c>
      <c r="D12" s="2"/>
    </row>
    <row r="14" spans="2:3" ht="14.25">
      <c r="B14" s="1" t="s">
        <v>1</v>
      </c>
      <c r="C14" s="5">
        <v>4.5</v>
      </c>
    </row>
    <row r="15" spans="2:5" ht="14.25">
      <c r="B15" s="1" t="s">
        <v>17</v>
      </c>
      <c r="C15" s="5">
        <v>1.41</v>
      </c>
      <c r="E15" t="s">
        <v>11</v>
      </c>
    </row>
    <row r="16" spans="2:3" ht="14.25">
      <c r="B16" s="1" t="s">
        <v>116</v>
      </c>
      <c r="C16" s="37">
        <f>C15/SQRT(2)</f>
        <v>0.9970205614730319</v>
      </c>
    </row>
    <row r="17" spans="2:3" ht="14.25">
      <c r="B17" s="1" t="s">
        <v>14</v>
      </c>
      <c r="C17" s="4">
        <v>5</v>
      </c>
    </row>
    <row r="18" spans="2:3" ht="14.25">
      <c r="B18" s="1" t="s">
        <v>15</v>
      </c>
      <c r="C18">
        <f>(12+32*C17)*C7</f>
        <v>1.0749999999999999E-05</v>
      </c>
    </row>
    <row r="20" spans="2:3" ht="14.25">
      <c r="B20" s="1" t="s">
        <v>9</v>
      </c>
      <c r="C20" s="9">
        <f>C9*C11/C12</f>
        <v>0.0072</v>
      </c>
    </row>
    <row r="21" spans="2:3" ht="14.25">
      <c r="B21" s="1" t="s">
        <v>10</v>
      </c>
      <c r="C21" s="9">
        <f>C14*C15*2*C18/C12</f>
        <v>0.018189</v>
      </c>
    </row>
    <row r="23" spans="2:5" ht="14.25">
      <c r="B23" s="1" t="s">
        <v>7</v>
      </c>
      <c r="C23" s="4">
        <v>31</v>
      </c>
      <c r="E23" t="s">
        <v>8</v>
      </c>
    </row>
    <row r="24" ht="14.25">
      <c r="C24" s="16" t="str">
        <f>IF(C23&lt;16,"Current scaler is quite small - values above 16 are best for good microstepping","OK")</f>
        <v>OK</v>
      </c>
    </row>
    <row r="25" spans="2:10" ht="14.25">
      <c r="B25" s="6" t="s">
        <v>2</v>
      </c>
      <c r="C25" s="7">
        <f>0.5+(C20+C21)*2*248*(C23+1)/C15/32</f>
        <v>9.43116595744681</v>
      </c>
      <c r="E25" t="s">
        <v>12</v>
      </c>
      <c r="J25" t="s">
        <v>25</v>
      </c>
    </row>
    <row r="26" ht="14.25">
      <c r="J26" t="s">
        <v>26</v>
      </c>
    </row>
    <row r="28" spans="2:6" ht="14.25">
      <c r="B28" s="6" t="s">
        <v>33</v>
      </c>
      <c r="C28" s="15" t="s">
        <v>31</v>
      </c>
      <c r="F28" s="15" t="s">
        <v>32</v>
      </c>
    </row>
    <row r="29" spans="2:6" ht="14.25">
      <c r="B29" s="1" t="s">
        <v>27</v>
      </c>
      <c r="C29" s="14">
        <f>MIN(C25,8)</f>
        <v>8</v>
      </c>
      <c r="E29" t="s">
        <v>29</v>
      </c>
      <c r="F29" s="14">
        <f>C29-1</f>
        <v>7</v>
      </c>
    </row>
    <row r="30" spans="2:6" ht="14.25">
      <c r="B30" s="1" t="s">
        <v>28</v>
      </c>
      <c r="C30" s="14">
        <f>MIN(C25-C29,12)</f>
        <v>1.4311659574468099</v>
      </c>
      <c r="E30" t="s">
        <v>30</v>
      </c>
      <c r="F30" s="14">
        <f>C30+3</f>
        <v>4.43116595744681</v>
      </c>
    </row>
    <row r="32" spans="2:3" ht="14.25">
      <c r="B32" s="1" t="s">
        <v>37</v>
      </c>
      <c r="C32" s="16" t="str">
        <f>IF(C25&gt;20,"Attention: Motor requires very high Hysteresis setting  - try with reduced setting, reduce tBLANK, reduce sense resistor valule, increase fCLK, decrease VM or use classic const_toff_chopper mode",IF(C25&gt;15,"Attention: Result is large, use with CS reduced to maximum 30, or try smaller value of 16","OK"))</f>
        <v>OK</v>
      </c>
    </row>
    <row r="35" ht="14.25">
      <c r="B35" s="3" t="s">
        <v>44</v>
      </c>
    </row>
    <row r="36" spans="2:5" ht="14.25">
      <c r="B36" s="1" t="s">
        <v>40</v>
      </c>
      <c r="C36" s="17">
        <f>C14*C15/SQRT(2)</f>
        <v>4.486592526628644</v>
      </c>
      <c r="E36" t="s">
        <v>38</v>
      </c>
    </row>
    <row r="37" spans="2:5" ht="14.25">
      <c r="B37" s="1" t="s">
        <v>41</v>
      </c>
      <c r="C37" s="14">
        <f>20*C36</f>
        <v>89.73185053257288</v>
      </c>
      <c r="E37" s="18" t="s">
        <v>39</v>
      </c>
    </row>
    <row r="38" spans="2:5" ht="14.25">
      <c r="B38" s="1" t="s">
        <v>42</v>
      </c>
      <c r="C38" s="14">
        <f>C36*2</f>
        <v>8.973185053257287</v>
      </c>
      <c r="E38" t="s">
        <v>43</v>
      </c>
    </row>
    <row r="40" ht="14.25">
      <c r="B40"/>
    </row>
    <row r="41" ht="14.25">
      <c r="B41"/>
    </row>
    <row r="42" ht="14.25">
      <c r="B42" s="25" t="s">
        <v>113</v>
      </c>
    </row>
    <row r="43" spans="2:5" ht="14.25">
      <c r="B43" t="s">
        <v>117</v>
      </c>
      <c r="C43" s="9">
        <f>(C23+1)/32/C15*0.31</f>
        <v>0.2198581560283688</v>
      </c>
      <c r="D43" t="s">
        <v>114</v>
      </c>
      <c r="E43" t="s">
        <v>115</v>
      </c>
    </row>
    <row r="44" spans="2:4" ht="14.25">
      <c r="B44" t="s">
        <v>118</v>
      </c>
      <c r="C44" s="9">
        <f>(C23+1)/32/C15*0.165</f>
        <v>0.1170212765957447</v>
      </c>
      <c r="D44" t="s">
        <v>114</v>
      </c>
    </row>
  </sheetData>
  <sheetProtection/>
  <conditionalFormatting sqref="C37">
    <cfRule type="cellIs" priority="2" dxfId="2" operator="lessThan" stopIfTrue="1">
      <formula>$C$9</formula>
    </cfRule>
  </conditionalFormatting>
  <conditionalFormatting sqref="C38">
    <cfRule type="cellIs" priority="1" dxfId="2" operator="greaterThan" stopIfTrue="1">
      <formula>$C$9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D18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4.8515625" style="0" customWidth="1"/>
    <col min="3" max="3" width="22.57421875" style="0" bestFit="1" customWidth="1"/>
    <col min="4" max="4" width="80.421875" style="0" customWidth="1"/>
  </cols>
  <sheetData>
    <row r="4" spans="2:3" ht="14.25">
      <c r="B4" s="11" t="s">
        <v>19</v>
      </c>
      <c r="C4" s="12" t="s">
        <v>22</v>
      </c>
    </row>
    <row r="6" spans="3:4" ht="14.25">
      <c r="C6" s="11" t="s">
        <v>20</v>
      </c>
      <c r="D6" s="11" t="s">
        <v>21</v>
      </c>
    </row>
    <row r="7" spans="3:4" ht="14.25">
      <c r="C7" s="13" t="s">
        <v>23</v>
      </c>
      <c r="D7" s="57" t="s">
        <v>24</v>
      </c>
    </row>
    <row r="8" spans="3:4" ht="14.25">
      <c r="C8" s="13" t="s">
        <v>35</v>
      </c>
      <c r="D8" s="57" t="s">
        <v>36</v>
      </c>
    </row>
    <row r="9" spans="3:4" ht="14.25">
      <c r="C9" s="13" t="s">
        <v>66</v>
      </c>
      <c r="D9" s="57" t="s">
        <v>67</v>
      </c>
    </row>
    <row r="10" spans="3:4" ht="14.25">
      <c r="C10" s="13" t="s">
        <v>111</v>
      </c>
      <c r="D10" s="57" t="s">
        <v>112</v>
      </c>
    </row>
    <row r="11" spans="3:4" ht="28.5">
      <c r="C11" s="13" t="s">
        <v>123</v>
      </c>
      <c r="D11" s="57" t="s">
        <v>124</v>
      </c>
    </row>
    <row r="12" spans="3:4" ht="28.5">
      <c r="C12" s="13" t="s">
        <v>130</v>
      </c>
      <c r="D12" s="57" t="s">
        <v>143</v>
      </c>
    </row>
    <row r="13" spans="3:4" ht="14.25">
      <c r="C13" s="13" t="s">
        <v>153</v>
      </c>
      <c r="D13" s="57" t="s">
        <v>154</v>
      </c>
    </row>
    <row r="14" ht="14.25">
      <c r="D14" s="57"/>
    </row>
    <row r="15" ht="14.25">
      <c r="D15" s="57"/>
    </row>
    <row r="16" ht="14.25">
      <c r="D16" s="57"/>
    </row>
    <row r="17" ht="14.25">
      <c r="D17" s="57"/>
    </row>
    <row r="18" ht="14.25">
      <c r="D18" s="5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Lars Larsson</dc:creator>
  <cp:keywords/>
  <dc:description/>
  <cp:lastModifiedBy>Bernhard Dwersteg</cp:lastModifiedBy>
  <dcterms:created xsi:type="dcterms:W3CDTF">2010-07-13T08:42:52Z</dcterms:created>
  <dcterms:modified xsi:type="dcterms:W3CDTF">2017-07-17T11:52:35Z</dcterms:modified>
  <cp:category/>
  <cp:version/>
  <cp:contentType/>
  <cp:contentStatus/>
</cp:coreProperties>
</file>